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C:\Users\Albert2_Wang\Desktop\BA單公版回覆內容\預計提報資料_240709\"/>
    </mc:Choice>
  </mc:AlternateContent>
  <xr:revisionPtr revIDLastSave="0" documentId="13_ncr:1_{A2352FC2-DDAD-48D9-84CE-2F95CB422DB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920" yWindow="-4515"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1" i="5" l="1"/>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G2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I7" i="6" s="1"/>
  <c r="C4" i="5"/>
  <c r="D4" i="5"/>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B23" i="6"/>
  <c r="G23" i="6" s="1"/>
  <c r="B8" i="6"/>
  <c r="G8" i="6"/>
  <c r="H8" i="6"/>
  <c r="D8" i="6" s="1"/>
  <c r="B11" i="6"/>
  <c r="G11" i="6" s="1"/>
  <c r="H11" i="6" s="1"/>
  <c r="D11" i="6" s="1"/>
  <c r="G26" i="6"/>
  <c r="H26" i="6"/>
  <c r="F31" i="6"/>
  <c r="H31" i="6"/>
  <c r="F36" i="6"/>
  <c r="H36" i="6"/>
  <c r="F41" i="6"/>
  <c r="H41" i="6"/>
  <c r="F46" i="6"/>
  <c r="H46" i="6"/>
  <c r="I4" i="6"/>
  <c r="C4" i="6" s="1"/>
  <c r="J4" i="6"/>
  <c r="J5" i="6"/>
  <c r="I6" i="6"/>
  <c r="J6" i="6"/>
  <c r="J9" i="6"/>
  <c r="I10" i="6"/>
  <c r="J10" i="6"/>
  <c r="I11" i="6"/>
  <c r="J11" i="6"/>
  <c r="I12" i="6"/>
  <c r="J12" i="6"/>
  <c r="I13" i="6"/>
  <c r="I16" i="6"/>
  <c r="J16" i="6"/>
  <c r="I17" i="6"/>
  <c r="C17" i="6" s="1"/>
  <c r="J17" i="6"/>
  <c r="I18" i="6"/>
  <c r="C18" i="6" s="1"/>
  <c r="J18" i="6"/>
  <c r="I20" i="6"/>
  <c r="J20" i="6"/>
  <c r="I21" i="6"/>
  <c r="I24" i="6"/>
  <c r="J24" i="6"/>
  <c r="I25" i="6"/>
  <c r="C25" i="6" s="1"/>
  <c r="J25" i="6"/>
  <c r="I26" i="6"/>
  <c r="C26" i="6" s="1"/>
  <c r="J26" i="6"/>
  <c r="I28" i="6"/>
  <c r="J28" i="6"/>
  <c r="I29" i="6"/>
  <c r="C29" i="6" s="1"/>
  <c r="I31" i="6"/>
  <c r="C31" i="6" s="1"/>
  <c r="J31" i="6"/>
  <c r="I33" i="6"/>
  <c r="J33" i="6"/>
  <c r="I34" i="6"/>
  <c r="J34" i="6"/>
  <c r="I35" i="6"/>
  <c r="C35" i="6" s="1"/>
  <c r="J35" i="6"/>
  <c r="I36" i="6"/>
  <c r="C36" i="6" s="1"/>
  <c r="I39" i="6"/>
  <c r="J39" i="6"/>
  <c r="I40" i="6"/>
  <c r="C40" i="6" s="1"/>
  <c r="J40" i="6"/>
  <c r="I41" i="6"/>
  <c r="C41" i="6" s="1"/>
  <c r="J41" i="6"/>
  <c r="I43" i="6"/>
  <c r="J43" i="6"/>
  <c r="I44" i="6"/>
  <c r="I48" i="6"/>
  <c r="J48" i="6"/>
  <c r="I49" i="6"/>
  <c r="J49" i="6"/>
  <c r="I50" i="6"/>
  <c r="J50" i="6"/>
  <c r="J51" i="6"/>
  <c r="I52" i="6"/>
  <c r="J52" i="6"/>
  <c r="J53" i="6"/>
  <c r="J54" i="6"/>
  <c r="I55" i="6"/>
  <c r="J55" i="6"/>
  <c r="I57" i="6"/>
  <c r="J57" i="6"/>
  <c r="I58" i="6"/>
  <c r="J58" i="6"/>
  <c r="I59" i="6"/>
  <c r="J59" i="6"/>
  <c r="J60" i="6"/>
  <c r="I61" i="6"/>
  <c r="J61" i="6"/>
  <c r="L61" i="6"/>
  <c r="I62" i="6"/>
  <c r="I63" i="6"/>
  <c r="I64" i="6"/>
  <c r="E4" i="8"/>
  <c r="B8"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500" i="5"/>
  <c r="R2500" i="5"/>
  <c r="J2500" i="5"/>
  <c r="I2500" i="5"/>
  <c r="H2500" i="5"/>
  <c r="G2500" i="5"/>
  <c r="F2500" i="5"/>
  <c r="B53" i="6"/>
  <c r="G53" i="6" s="1"/>
  <c r="B52" i="6"/>
  <c r="P27" i="4"/>
  <c r="B27" i="4" s="1"/>
  <c r="A16" i="6" s="1"/>
  <c r="G52" i="6"/>
  <c r="B57" i="6"/>
  <c r="G57" i="6" s="1"/>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D6" i="6" s="1"/>
  <c r="F59" i="6"/>
  <c r="C2" i="6" s="1"/>
  <c r="F2347" i="5"/>
  <c r="I2451" i="5"/>
  <c r="R2495" i="5"/>
  <c r="D11" i="4"/>
  <c r="B58" i="6"/>
  <c r="G58" i="6"/>
  <c r="B54" i="6"/>
  <c r="G54" i="6"/>
  <c r="B49" i="6"/>
  <c r="G49" i="6"/>
  <c r="G48" i="6"/>
  <c r="B46" i="6"/>
  <c r="G46" i="6"/>
  <c r="B45" i="6"/>
  <c r="G45" i="6"/>
  <c r="B44" i="6"/>
  <c r="G44" i="6" s="1"/>
  <c r="B43" i="6"/>
  <c r="G43" i="6" s="1"/>
  <c r="B41" i="6"/>
  <c r="G41" i="6"/>
  <c r="B40" i="6"/>
  <c r="G40" i="6"/>
  <c r="B39" i="6"/>
  <c r="G39" i="6" s="1"/>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c r="H13" i="6"/>
  <c r="D13" i="6" s="1"/>
  <c r="B12" i="6"/>
  <c r="G12" i="6"/>
  <c r="H12" i="6"/>
  <c r="D12" i="6" s="1"/>
  <c r="B10" i="6"/>
  <c r="G10" i="6"/>
  <c r="H10" i="6"/>
  <c r="D10" i="6"/>
  <c r="B9" i="6"/>
  <c r="G9" i="6"/>
  <c r="H9" i="6"/>
  <c r="D9" i="6"/>
  <c r="B7" i="6"/>
  <c r="G7" i="6"/>
  <c r="H7" i="6"/>
  <c r="D7" i="6"/>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H61" i="4"/>
  <c r="P41" i="4"/>
  <c r="P40" i="4"/>
  <c r="P29" i="4"/>
  <c r="P28" i="4"/>
  <c r="A5" i="4"/>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81" i="5"/>
  <c r="S90"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F112" i="5"/>
  <c r="H751" i="5"/>
  <c r="F2243" i="5"/>
  <c r="J2107" i="5"/>
  <c r="G355" i="5"/>
  <c r="J1451" i="5"/>
  <c r="S311"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A68" i="2"/>
  <c r="A10" i="2"/>
  <c r="A36" i="2"/>
  <c r="B24" i="4"/>
  <c r="C9" i="3"/>
  <c r="B11" i="3"/>
  <c r="B21" i="3"/>
  <c r="A53" i="2"/>
  <c r="C6" i="3"/>
  <c r="A58" i="2"/>
  <c r="A25" i="2"/>
  <c r="A39" i="2"/>
  <c r="A71" i="2"/>
  <c r="H68" i="4"/>
  <c r="A69" i="2"/>
  <c r="B8" i="3"/>
  <c r="A70" i="2"/>
  <c r="I68" i="4"/>
  <c r="A17" i="2"/>
  <c r="A67" i="2"/>
  <c r="A43" i="2"/>
  <c r="A52" i="2"/>
  <c r="A54" i="2"/>
  <c r="A28" i="2"/>
  <c r="A60" i="2"/>
  <c r="C7" i="3"/>
  <c r="C16" i="3"/>
  <c r="A15" i="2"/>
  <c r="B9" i="3"/>
  <c r="A32" i="2"/>
  <c r="A6" i="2"/>
  <c r="B20" i="3"/>
  <c r="A57" i="2"/>
  <c r="A59" i="2"/>
  <c r="A13" i="2"/>
  <c r="B16" i="4"/>
  <c r="A8" i="6" s="1"/>
  <c r="A24" i="2"/>
  <c r="A30" i="2"/>
  <c r="B3" i="3"/>
  <c r="A9" i="2"/>
  <c r="A23" i="2"/>
  <c r="A5" i="2"/>
  <c r="R520" i="5"/>
  <c r="H731" i="5"/>
  <c r="H182" i="5"/>
  <c r="R342"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J184"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2499" i="5"/>
  <c r="I2499" i="5"/>
  <c r="H2499" i="5"/>
  <c r="J185"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J361"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87" i="5"/>
  <c r="S91" i="5"/>
  <c r="S83"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89" i="5"/>
  <c r="S85" i="5"/>
  <c r="S88" i="5"/>
  <c r="S93"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44" i="4" s="1"/>
  <c r="A28" i="6" s="1"/>
  <c r="B3" i="6"/>
  <c r="A4" i="8"/>
  <c r="B22" i="3"/>
  <c r="B4" i="8"/>
  <c r="B34" i="4"/>
  <c r="B40" i="4"/>
  <c r="B58" i="4" s="1"/>
  <c r="A40" i="6" s="1"/>
  <c r="C3" i="6"/>
  <c r="I4" i="8"/>
  <c r="C5" i="7"/>
  <c r="A1" i="6"/>
  <c r="A85" i="4"/>
  <c r="B33" i="4"/>
  <c r="A21" i="6" s="1"/>
  <c r="H4" i="5"/>
  <c r="O4" i="5"/>
  <c r="B2" i="5"/>
  <c r="B41" i="4"/>
  <c r="A26" i="6" s="1"/>
  <c r="D3" i="6"/>
  <c r="B20"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6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H2439" i="5"/>
  <c r="S2107" i="5"/>
  <c r="S1979" i="5"/>
  <c r="J2041" i="5"/>
  <c r="I2321" i="5"/>
  <c r="I2071" i="5"/>
  <c r="G2200" i="5"/>
  <c r="R2200" i="5"/>
  <c r="H2200" i="5"/>
  <c r="J2200" i="5"/>
  <c r="I2200" i="5"/>
  <c r="I2144" i="5"/>
  <c r="J2144" i="5"/>
  <c r="S1419" i="5"/>
  <c r="R2265" i="5"/>
  <c r="R2332" i="5"/>
  <c r="S1395" i="5"/>
  <c r="S963" i="5"/>
  <c r="G409" i="5"/>
  <c r="G84" i="5"/>
  <c r="F129" i="5"/>
  <c r="I129" i="5"/>
  <c r="J2332" i="5"/>
  <c r="I2265" i="5"/>
  <c r="R313" i="5"/>
  <c r="S923" i="5"/>
  <c r="J2439" i="5"/>
  <c r="R1281" i="5"/>
  <c r="G2321" i="5"/>
  <c r="F409" i="5"/>
  <c r="F753" i="5"/>
  <c r="S1171" i="5"/>
  <c r="S211"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I5" i="6" l="1"/>
  <c r="E4" i="5"/>
  <c r="I9" i="6"/>
  <c r="L60" i="6"/>
  <c r="I54" i="6"/>
  <c r="I46" i="6"/>
  <c r="C46" i="6" s="1"/>
  <c r="J38" i="6"/>
  <c r="J30" i="6"/>
  <c r="J23" i="6"/>
  <c r="J15" i="6"/>
  <c r="J8" i="6"/>
  <c r="I45" i="6"/>
  <c r="C45" i="6" s="1"/>
  <c r="I38" i="6"/>
  <c r="I30" i="6"/>
  <c r="C30" i="6" s="1"/>
  <c r="I23" i="6"/>
  <c r="I15" i="6"/>
  <c r="I8" i="6"/>
  <c r="A37" i="2"/>
  <c r="B16" i="3"/>
  <c r="A22" i="2"/>
  <c r="C11" i="3"/>
  <c r="B12" i="3"/>
  <c r="A63" i="2"/>
  <c r="I60" i="6"/>
  <c r="I53" i="6"/>
  <c r="J44" i="6"/>
  <c r="J36" i="6"/>
  <c r="J29" i="6"/>
  <c r="J21" i="6"/>
  <c r="J13" i="6"/>
  <c r="J7" i="6"/>
  <c r="B12" i="5"/>
  <c r="C58" i="5"/>
  <c r="B7" i="5"/>
  <c r="C77" i="5"/>
  <c r="C76" i="5"/>
  <c r="C71" i="5"/>
  <c r="C70" i="5"/>
  <c r="B6" i="5"/>
  <c r="C65" i="5"/>
  <c r="B75" i="5"/>
  <c r="C64" i="5"/>
  <c r="B69" i="5"/>
  <c r="C59" i="5"/>
  <c r="B63" i="5"/>
  <c r="C32" i="5"/>
  <c r="B80" i="5"/>
  <c r="B74" i="5"/>
  <c r="B68" i="5"/>
  <c r="B62" i="5"/>
  <c r="C75" i="5"/>
  <c r="C69" i="5"/>
  <c r="C63" i="5"/>
  <c r="C8" i="5"/>
  <c r="AB8" i="5" s="1"/>
  <c r="C7" i="5"/>
  <c r="B79" i="5"/>
  <c r="B73" i="5"/>
  <c r="B67" i="5"/>
  <c r="B61" i="5"/>
  <c r="C80" i="5"/>
  <c r="C74" i="5"/>
  <c r="C68" i="5"/>
  <c r="C62" i="5"/>
  <c r="B78" i="5"/>
  <c r="B72" i="5"/>
  <c r="B66" i="5"/>
  <c r="B60" i="5"/>
  <c r="C79" i="5"/>
  <c r="C73" i="5"/>
  <c r="C67" i="5"/>
  <c r="C61" i="5"/>
  <c r="B77" i="5"/>
  <c r="B71" i="5"/>
  <c r="B65" i="5"/>
  <c r="B59" i="5"/>
  <c r="C78" i="5"/>
  <c r="C72" i="5"/>
  <c r="C66" i="5"/>
  <c r="C60" i="5"/>
  <c r="B76" i="5"/>
  <c r="B70" i="5"/>
  <c r="B64" i="5"/>
  <c r="B58" i="5"/>
  <c r="B48" i="5"/>
  <c r="B43" i="5"/>
  <c r="C37" i="5"/>
  <c r="V37" i="5" s="1"/>
  <c r="F37" i="5" s="1"/>
  <c r="B42" i="5"/>
  <c r="C31" i="5"/>
  <c r="B37" i="5"/>
  <c r="C56" i="5"/>
  <c r="C26" i="5"/>
  <c r="B36" i="5"/>
  <c r="C55" i="5"/>
  <c r="C25" i="5"/>
  <c r="B31" i="5"/>
  <c r="C50" i="5"/>
  <c r="G50" i="5" s="1"/>
  <c r="C20" i="5"/>
  <c r="C5" i="5"/>
  <c r="B30" i="5"/>
  <c r="C49" i="5"/>
  <c r="B25" i="5"/>
  <c r="C44" i="5"/>
  <c r="C19" i="5"/>
  <c r="B24" i="5"/>
  <c r="C14" i="5"/>
  <c r="B55" i="5"/>
  <c r="B19" i="5"/>
  <c r="C43" i="5"/>
  <c r="B54" i="5"/>
  <c r="B18" i="5"/>
  <c r="C38" i="5"/>
  <c r="C13" i="5"/>
  <c r="B49" i="5"/>
  <c r="B13" i="5"/>
  <c r="C54" i="5"/>
  <c r="C48" i="5"/>
  <c r="C42" i="5"/>
  <c r="C36" i="5"/>
  <c r="C30" i="5"/>
  <c r="C24" i="5"/>
  <c r="C18" i="5"/>
  <c r="C12" i="5"/>
  <c r="C6" i="5"/>
  <c r="B5" i="5"/>
  <c r="B53" i="5"/>
  <c r="B47" i="5"/>
  <c r="B41" i="5"/>
  <c r="B35" i="5"/>
  <c r="B29" i="5"/>
  <c r="B23" i="5"/>
  <c r="B17" i="5"/>
  <c r="B11" i="5"/>
  <c r="C53" i="5"/>
  <c r="C47" i="5"/>
  <c r="C41" i="5"/>
  <c r="C35" i="5"/>
  <c r="C29" i="5"/>
  <c r="C23" i="5"/>
  <c r="C17" i="5"/>
  <c r="C11" i="5"/>
  <c r="B52" i="5"/>
  <c r="B46" i="5"/>
  <c r="B40" i="5"/>
  <c r="B34" i="5"/>
  <c r="B28" i="5"/>
  <c r="B22" i="5"/>
  <c r="B16" i="5"/>
  <c r="B10" i="5"/>
  <c r="C52" i="5"/>
  <c r="C46" i="5"/>
  <c r="C40" i="5"/>
  <c r="C34" i="5"/>
  <c r="C28" i="5"/>
  <c r="C22" i="5"/>
  <c r="C16" i="5"/>
  <c r="C10" i="5"/>
  <c r="B57" i="5"/>
  <c r="B51" i="5"/>
  <c r="B45" i="5"/>
  <c r="B39" i="5"/>
  <c r="B33" i="5"/>
  <c r="B27" i="5"/>
  <c r="B21" i="5"/>
  <c r="B15" i="5"/>
  <c r="B9" i="5"/>
  <c r="C57" i="5"/>
  <c r="C51" i="5"/>
  <c r="C45" i="5"/>
  <c r="C39" i="5"/>
  <c r="C33" i="5"/>
  <c r="C27" i="5"/>
  <c r="C21" i="5"/>
  <c r="C15" i="5"/>
  <c r="C9" i="5"/>
  <c r="B56" i="5"/>
  <c r="B50" i="5"/>
  <c r="B44" i="5"/>
  <c r="B38" i="5"/>
  <c r="B32" i="5"/>
  <c r="B26" i="5"/>
  <c r="B20" i="5"/>
  <c r="B14" i="5"/>
  <c r="C13" i="6"/>
  <c r="F24" i="6"/>
  <c r="F44" i="6" s="1"/>
  <c r="H44" i="6" s="1"/>
  <c r="F23" i="6"/>
  <c r="F21" i="6"/>
  <c r="H21" i="6" s="1"/>
  <c r="D21" i="6" s="1"/>
  <c r="G16" i="6"/>
  <c r="H16" i="6" s="1"/>
  <c r="H23" i="6"/>
  <c r="D23" i="6" s="1"/>
  <c r="F28" i="6"/>
  <c r="H28" i="6" s="1"/>
  <c r="D28" i="6" s="1"/>
  <c r="F60" i="6"/>
  <c r="F33" i="6"/>
  <c r="H33" i="6" s="1"/>
  <c r="D33" i="6" s="1"/>
  <c r="F38" i="6"/>
  <c r="H38" i="6" s="1"/>
  <c r="D38" i="6" s="1"/>
  <c r="F43" i="6"/>
  <c r="H43" i="6" s="1"/>
  <c r="D43" i="6" s="1"/>
  <c r="B43" i="4"/>
  <c r="A27" i="6" s="1"/>
  <c r="B37" i="4"/>
  <c r="A22" i="6" s="1"/>
  <c r="B61" i="4"/>
  <c r="A42" i="6" s="1"/>
  <c r="B55" i="4"/>
  <c r="A37" i="6" s="1"/>
  <c r="B49" i="4"/>
  <c r="A32" i="6" s="1"/>
  <c r="C43" i="6"/>
  <c r="B77" i="4"/>
  <c r="A54" i="6" s="1"/>
  <c r="F20" i="6"/>
  <c r="H20" i="6" s="1"/>
  <c r="D20" i="6" s="1"/>
  <c r="B81" i="4"/>
  <c r="A57" i="6" s="1"/>
  <c r="G15" i="6"/>
  <c r="H15" i="6" s="1"/>
  <c r="B83" i="4"/>
  <c r="A58" i="6" s="1"/>
  <c r="C38" i="6"/>
  <c r="C15" i="6"/>
  <c r="C12" i="6"/>
  <c r="C11" i="6"/>
  <c r="C10" i="6"/>
  <c r="C9" i="6"/>
  <c r="C8" i="6"/>
  <c r="C7" i="6"/>
  <c r="G5" i="6"/>
  <c r="H5" i="6" s="1"/>
  <c r="D5" i="6" s="1"/>
  <c r="C6" i="6"/>
  <c r="H59" i="6"/>
  <c r="D59" i="6" s="1"/>
  <c r="D49" i="4"/>
  <c r="A25" i="6"/>
  <c r="B74" i="4"/>
  <c r="A52" i="6" s="1"/>
  <c r="B50" i="4"/>
  <c r="A33" i="6" s="1"/>
  <c r="D55" i="4"/>
  <c r="B62" i="4"/>
  <c r="A43" i="6" s="1"/>
  <c r="B46" i="4"/>
  <c r="A30" i="6" s="1"/>
  <c r="B47" i="4"/>
  <c r="A31" i="6" s="1"/>
  <c r="D61" i="4"/>
  <c r="B56" i="4"/>
  <c r="A38" i="6" s="1"/>
  <c r="G37" i="4"/>
  <c r="A23" i="6"/>
  <c r="B65" i="4"/>
  <c r="A46" i="6" s="1"/>
  <c r="B53" i="4"/>
  <c r="A36" i="6" s="1"/>
  <c r="B59" i="4"/>
  <c r="A41" i="6" s="1"/>
  <c r="B75" i="4"/>
  <c r="A53" i="6" s="1"/>
  <c r="B57" i="4"/>
  <c r="A39" i="6" s="1"/>
  <c r="B63" i="4"/>
  <c r="A44" i="6" s="1"/>
  <c r="B51" i="4"/>
  <c r="A34" i="6" s="1"/>
  <c r="G43" i="4"/>
  <c r="D68" i="4"/>
  <c r="D37" i="4"/>
  <c r="D43" i="4"/>
  <c r="G55" i="4"/>
  <c r="G68" i="4"/>
  <c r="G31" i="4"/>
  <c r="G49" i="4"/>
  <c r="B52" i="4"/>
  <c r="A35" i="6" s="1"/>
  <c r="B64" i="4"/>
  <c r="A45" i="6" s="1"/>
  <c r="R37" i="5" l="1"/>
  <c r="AB7" i="5"/>
  <c r="AB12" i="5"/>
  <c r="V32" i="5"/>
  <c r="I32" i="5" s="1"/>
  <c r="AB49" i="5"/>
  <c r="AB6" i="5"/>
  <c r="V64" i="5"/>
  <c r="J64" i="5" s="1"/>
  <c r="AB54" i="5"/>
  <c r="I37" i="5"/>
  <c r="AB42" i="5"/>
  <c r="H37" i="5"/>
  <c r="AB75" i="5"/>
  <c r="AB69" i="5"/>
  <c r="V7" i="5"/>
  <c r="H7" i="5" s="1"/>
  <c r="V76" i="5"/>
  <c r="R76" i="5" s="1"/>
  <c r="V26" i="5"/>
  <c r="E26" i="5" s="1"/>
  <c r="X26" i="5" s="1"/>
  <c r="V59" i="5"/>
  <c r="G59" i="5" s="1"/>
  <c r="V56" i="5"/>
  <c r="G56" i="5" s="1"/>
  <c r="V65" i="5"/>
  <c r="H65" i="5" s="1"/>
  <c r="AB63" i="5"/>
  <c r="AB31" i="5"/>
  <c r="V25" i="5"/>
  <c r="G25" i="5" s="1"/>
  <c r="V14" i="5"/>
  <c r="F14" i="5" s="1"/>
  <c r="V8" i="5"/>
  <c r="G8" i="5" s="1"/>
  <c r="AB13" i="5"/>
  <c r="AB77" i="5"/>
  <c r="V80" i="5"/>
  <c r="V77" i="5"/>
  <c r="V55" i="5"/>
  <c r="I55" i="5" s="1"/>
  <c r="AB64" i="5"/>
  <c r="V61" i="5"/>
  <c r="AB61" i="5"/>
  <c r="AB62" i="5"/>
  <c r="V68" i="5"/>
  <c r="V67" i="5"/>
  <c r="AB76" i="5"/>
  <c r="V73" i="5"/>
  <c r="G73" i="5" s="1"/>
  <c r="AB73" i="5"/>
  <c r="AB74" i="5"/>
  <c r="AB67" i="5"/>
  <c r="AB36" i="5"/>
  <c r="G37" i="5"/>
  <c r="V60" i="5"/>
  <c r="G60" i="5" s="1"/>
  <c r="V79" i="5"/>
  <c r="G79" i="5" s="1"/>
  <c r="AB79" i="5"/>
  <c r="AB80" i="5"/>
  <c r="V74" i="5"/>
  <c r="G74" i="5" s="1"/>
  <c r="AB58" i="5"/>
  <c r="AB70" i="5"/>
  <c r="V66" i="5"/>
  <c r="G66" i="5" s="1"/>
  <c r="AB60" i="5"/>
  <c r="AB48" i="5"/>
  <c r="V72" i="5"/>
  <c r="G72" i="5" s="1"/>
  <c r="AB66" i="5"/>
  <c r="AB68" i="5"/>
  <c r="V78" i="5"/>
  <c r="G78" i="5" s="1"/>
  <c r="AB72" i="5"/>
  <c r="V63" i="5"/>
  <c r="G63" i="5" s="1"/>
  <c r="AB71" i="5"/>
  <c r="V71" i="5"/>
  <c r="AB59" i="5"/>
  <c r="AB78" i="5"/>
  <c r="V69" i="5"/>
  <c r="G69" i="5" s="1"/>
  <c r="V58" i="5"/>
  <c r="V43" i="5"/>
  <c r="I43" i="5" s="1"/>
  <c r="AB65" i="5"/>
  <c r="V62" i="5"/>
  <c r="G62" i="5" s="1"/>
  <c r="V75" i="5"/>
  <c r="G75" i="5" s="1"/>
  <c r="V70" i="5"/>
  <c r="AB25" i="5"/>
  <c r="J37" i="5"/>
  <c r="V31" i="5"/>
  <c r="G31" i="5" s="1"/>
  <c r="E37" i="5"/>
  <c r="X37" i="5" s="1"/>
  <c r="V13" i="5"/>
  <c r="G13" i="5" s="1"/>
  <c r="V20" i="5"/>
  <c r="J20" i="5" s="1"/>
  <c r="AB19" i="5"/>
  <c r="AB24" i="5"/>
  <c r="AB55" i="5"/>
  <c r="V49" i="5"/>
  <c r="G49" i="5" s="1"/>
  <c r="V50" i="5"/>
  <c r="J50" i="5" s="1"/>
  <c r="V19" i="5"/>
  <c r="AB30" i="5"/>
  <c r="T37" i="5"/>
  <c r="S37" i="5"/>
  <c r="AB37" i="5"/>
  <c r="AB43" i="5"/>
  <c r="V22" i="5"/>
  <c r="AB44" i="5"/>
  <c r="AB52" i="5"/>
  <c r="V6" i="5"/>
  <c r="V17" i="5"/>
  <c r="G17" i="5" s="1"/>
  <c r="AB27" i="5"/>
  <c r="V46" i="5"/>
  <c r="G46" i="5" s="1"/>
  <c r="V23" i="5"/>
  <c r="V18" i="5"/>
  <c r="V15" i="5"/>
  <c r="G15" i="5" s="1"/>
  <c r="AB33" i="5"/>
  <c r="V52" i="5"/>
  <c r="G52" i="5" s="1"/>
  <c r="V29" i="5"/>
  <c r="G29" i="5" s="1"/>
  <c r="AB11" i="5"/>
  <c r="V24" i="5"/>
  <c r="G24" i="5" s="1"/>
  <c r="AB18" i="5"/>
  <c r="AB9" i="5"/>
  <c r="V11" i="5"/>
  <c r="AB56" i="5"/>
  <c r="V9" i="5"/>
  <c r="G9" i="5" s="1"/>
  <c r="V21" i="5"/>
  <c r="AB39" i="5"/>
  <c r="AB10" i="5"/>
  <c r="V35" i="5"/>
  <c r="G35" i="5" s="1"/>
  <c r="AB17" i="5"/>
  <c r="V30" i="5"/>
  <c r="G30" i="5" s="1"/>
  <c r="AB38" i="5"/>
  <c r="V28" i="5"/>
  <c r="AB5" i="5"/>
  <c r="V5" i="5"/>
  <c r="V38" i="5"/>
  <c r="V34" i="5"/>
  <c r="AB21" i="5"/>
  <c r="F64" i="6"/>
  <c r="C64" i="6" s="1"/>
  <c r="AB45" i="5"/>
  <c r="V41" i="5"/>
  <c r="G41" i="5"/>
  <c r="AB23" i="5"/>
  <c r="V36" i="5"/>
  <c r="G36" i="5" s="1"/>
  <c r="V57" i="5"/>
  <c r="G57" i="5" s="1"/>
  <c r="AB46" i="5"/>
  <c r="AB53" i="5"/>
  <c r="AB15" i="5"/>
  <c r="V40" i="5"/>
  <c r="G40" i="5" s="1"/>
  <c r="V12" i="5"/>
  <c r="G12" i="5" s="1"/>
  <c r="V44" i="5"/>
  <c r="V27" i="5"/>
  <c r="AB16" i="5"/>
  <c r="AB14" i="5"/>
  <c r="V33" i="5"/>
  <c r="G33" i="5" s="1"/>
  <c r="AB51" i="5"/>
  <c r="AB22" i="5"/>
  <c r="V47" i="5"/>
  <c r="G47" i="5" s="1"/>
  <c r="AB29" i="5"/>
  <c r="V42" i="5"/>
  <c r="AB50" i="5"/>
  <c r="T50" i="5"/>
  <c r="S50" i="5"/>
  <c r="AB20" i="5"/>
  <c r="V39" i="5"/>
  <c r="AB57" i="5"/>
  <c r="AB28" i="5"/>
  <c r="V53" i="5"/>
  <c r="G53" i="5" s="1"/>
  <c r="AB35" i="5"/>
  <c r="V48" i="5"/>
  <c r="G48" i="5" s="1"/>
  <c r="AB26" i="5"/>
  <c r="V45" i="5"/>
  <c r="G45" i="5" s="1"/>
  <c r="V10" i="5"/>
  <c r="G10" i="5" s="1"/>
  <c r="AB34" i="5"/>
  <c r="S41" i="5"/>
  <c r="AB41" i="5"/>
  <c r="T41" i="5"/>
  <c r="V54" i="5"/>
  <c r="G54" i="5" s="1"/>
  <c r="AB32" i="5"/>
  <c r="V51" i="5"/>
  <c r="G51" i="5" s="1"/>
  <c r="V16" i="5"/>
  <c r="AB40" i="5"/>
  <c r="AB47" i="5"/>
  <c r="D44" i="6"/>
  <c r="C44" i="6"/>
  <c r="F48" i="6"/>
  <c r="F52" i="6" s="1"/>
  <c r="H52" i="6" s="1"/>
  <c r="H24" i="6"/>
  <c r="F39" i="6"/>
  <c r="H39" i="6" s="1"/>
  <c r="F61" i="6"/>
  <c r="F34" i="6"/>
  <c r="H34" i="6" s="1"/>
  <c r="D34" i="6" s="1"/>
  <c r="C33" i="6"/>
  <c r="D52" i="6"/>
  <c r="C52" i="6"/>
  <c r="C34" i="6"/>
  <c r="C21" i="6"/>
  <c r="D16" i="6"/>
  <c r="K61" i="6"/>
  <c r="C16" i="6"/>
  <c r="F53" i="6"/>
  <c r="H53" i="6" s="1"/>
  <c r="F54" i="6"/>
  <c r="H54" i="6" s="1"/>
  <c r="F55" i="6"/>
  <c r="H55" i="6" s="1"/>
  <c r="F49" i="6"/>
  <c r="F57" i="6"/>
  <c r="H57" i="6" s="1"/>
  <c r="H48" i="6"/>
  <c r="F58" i="6"/>
  <c r="H58" i="6" s="1"/>
  <c r="K60" i="6"/>
  <c r="D15" i="6"/>
  <c r="C20" i="6"/>
  <c r="C28" i="6"/>
  <c r="B2" i="6"/>
  <c r="C23" i="6"/>
  <c r="C59" i="6"/>
  <c r="C5" i="6"/>
  <c r="F32" i="5" l="1"/>
  <c r="I64" i="5"/>
  <c r="H32" i="5"/>
  <c r="G32" i="5"/>
  <c r="R32" i="5"/>
  <c r="E32" i="5"/>
  <c r="J32" i="5"/>
  <c r="R7" i="5"/>
  <c r="J8" i="5"/>
  <c r="H8" i="5"/>
  <c r="E8" i="5"/>
  <c r="X8" i="5" s="1"/>
  <c r="E64" i="5"/>
  <c r="X64" i="5" s="1"/>
  <c r="R64" i="5"/>
  <c r="H64" i="5"/>
  <c r="J7" i="5"/>
  <c r="G7" i="5"/>
  <c r="G64" i="5"/>
  <c r="G26" i="5"/>
  <c r="E55" i="5"/>
  <c r="X55" i="5" s="1"/>
  <c r="I7" i="5"/>
  <c r="G55" i="5"/>
  <c r="F7" i="5"/>
  <c r="E7" i="5"/>
  <c r="X7" i="5" s="1"/>
  <c r="H76" i="5"/>
  <c r="F76" i="5"/>
  <c r="E59" i="5"/>
  <c r="J55" i="5"/>
  <c r="R26" i="5"/>
  <c r="R59" i="5"/>
  <c r="J59" i="5"/>
  <c r="E76" i="5"/>
  <c r="X76" i="5" s="1"/>
  <c r="I76" i="5"/>
  <c r="F8" i="5"/>
  <c r="I26" i="5"/>
  <c r="F64" i="5"/>
  <c r="J76" i="5"/>
  <c r="J56" i="5"/>
  <c r="G76" i="5"/>
  <c r="F56" i="5"/>
  <c r="F26" i="5"/>
  <c r="I56" i="5"/>
  <c r="H26" i="5"/>
  <c r="J26" i="5"/>
  <c r="R14" i="5"/>
  <c r="H25" i="5"/>
  <c r="R8" i="5"/>
  <c r="H59" i="5"/>
  <c r="I59" i="5"/>
  <c r="E56" i="5"/>
  <c r="R56" i="5"/>
  <c r="H56" i="5"/>
  <c r="E25" i="5"/>
  <c r="X25" i="5" s="1"/>
  <c r="R25" i="5"/>
  <c r="J65" i="5"/>
  <c r="J25" i="5"/>
  <c r="I14" i="5"/>
  <c r="I8" i="5"/>
  <c r="E65" i="5"/>
  <c r="G65" i="5"/>
  <c r="G14" i="5"/>
  <c r="F65" i="5"/>
  <c r="F25" i="5"/>
  <c r="E14" i="5"/>
  <c r="R65" i="5"/>
  <c r="I25" i="5"/>
  <c r="I65" i="5"/>
  <c r="J14" i="5"/>
  <c r="H14" i="5"/>
  <c r="F59" i="5"/>
  <c r="E43" i="5"/>
  <c r="G60" i="6"/>
  <c r="H60" i="6" s="1"/>
  <c r="D60" i="6" s="1"/>
  <c r="R20" i="5"/>
  <c r="R61" i="5"/>
  <c r="I61" i="5"/>
  <c r="H61" i="5"/>
  <c r="E61" i="5"/>
  <c r="F61" i="5"/>
  <c r="J61" i="5"/>
  <c r="E60" i="5"/>
  <c r="I60" i="5"/>
  <c r="R60" i="5"/>
  <c r="J60" i="5"/>
  <c r="H60" i="5"/>
  <c r="F60" i="5"/>
  <c r="R73" i="5"/>
  <c r="E73" i="5"/>
  <c r="I73" i="5"/>
  <c r="J73" i="5"/>
  <c r="H73" i="5"/>
  <c r="F73" i="5"/>
  <c r="H58" i="5"/>
  <c r="I58" i="5"/>
  <c r="F58" i="5"/>
  <c r="J58" i="5"/>
  <c r="E58" i="5"/>
  <c r="R58" i="5"/>
  <c r="G58" i="5"/>
  <c r="H55" i="5"/>
  <c r="G43" i="5"/>
  <c r="F55" i="5"/>
  <c r="H70" i="5"/>
  <c r="J70" i="5"/>
  <c r="R70" i="5"/>
  <c r="E70" i="5"/>
  <c r="F70" i="5"/>
  <c r="I70" i="5"/>
  <c r="G70" i="5"/>
  <c r="E78" i="5"/>
  <c r="F78" i="5"/>
  <c r="H78" i="5"/>
  <c r="I78" i="5"/>
  <c r="J78" i="5"/>
  <c r="R78" i="5"/>
  <c r="J80" i="5"/>
  <c r="F80" i="5"/>
  <c r="R80" i="5"/>
  <c r="E80" i="5"/>
  <c r="I80" i="5"/>
  <c r="H80" i="5"/>
  <c r="F72" i="5"/>
  <c r="E72" i="5"/>
  <c r="R72" i="5"/>
  <c r="H72" i="5"/>
  <c r="I72" i="5"/>
  <c r="J72" i="5"/>
  <c r="H77" i="5"/>
  <c r="E77" i="5"/>
  <c r="I77" i="5"/>
  <c r="R77" i="5"/>
  <c r="F77" i="5"/>
  <c r="J77" i="5"/>
  <c r="G77" i="5"/>
  <c r="R13" i="5"/>
  <c r="F31" i="5"/>
  <c r="H13" i="5"/>
  <c r="E31" i="5"/>
  <c r="X31" i="5" s="1"/>
  <c r="R55" i="5"/>
  <c r="G20" i="5"/>
  <c r="F67" i="5"/>
  <c r="R67" i="5"/>
  <c r="E67" i="5"/>
  <c r="I67" i="5"/>
  <c r="H67" i="5"/>
  <c r="J67" i="5"/>
  <c r="G80" i="5"/>
  <c r="E20" i="5"/>
  <c r="H75" i="5"/>
  <c r="J75" i="5"/>
  <c r="R75" i="5"/>
  <c r="I75" i="5"/>
  <c r="E75" i="5"/>
  <c r="F75" i="5"/>
  <c r="F66" i="5"/>
  <c r="E66" i="5"/>
  <c r="R66" i="5"/>
  <c r="H66" i="5"/>
  <c r="I66" i="5"/>
  <c r="J66" i="5"/>
  <c r="G67" i="5"/>
  <c r="F63" i="5"/>
  <c r="R63" i="5"/>
  <c r="H63" i="5"/>
  <c r="I63" i="5"/>
  <c r="J63" i="5"/>
  <c r="E63" i="5"/>
  <c r="F20" i="5"/>
  <c r="F43" i="5"/>
  <c r="J68" i="5"/>
  <c r="I68" i="5"/>
  <c r="H68" i="5"/>
  <c r="E68" i="5"/>
  <c r="F68" i="5"/>
  <c r="R68" i="5"/>
  <c r="H74" i="5"/>
  <c r="E74" i="5"/>
  <c r="R74" i="5"/>
  <c r="F74" i="5"/>
  <c r="J74" i="5"/>
  <c r="I74" i="5"/>
  <c r="G68" i="5"/>
  <c r="E13" i="5"/>
  <c r="X13" i="5" s="1"/>
  <c r="H43" i="5"/>
  <c r="J71" i="5"/>
  <c r="F71" i="5"/>
  <c r="R71" i="5"/>
  <c r="E71" i="5"/>
  <c r="H71" i="5"/>
  <c r="I71" i="5"/>
  <c r="G71" i="5"/>
  <c r="J13" i="5"/>
  <c r="J31" i="5"/>
  <c r="J43" i="5"/>
  <c r="R62" i="5"/>
  <c r="J62" i="5"/>
  <c r="I62" i="5"/>
  <c r="F62" i="5"/>
  <c r="H62" i="5"/>
  <c r="E62" i="5"/>
  <c r="R43" i="5"/>
  <c r="R69" i="5"/>
  <c r="H69" i="5"/>
  <c r="J69" i="5"/>
  <c r="I69" i="5"/>
  <c r="F69" i="5"/>
  <c r="E69" i="5"/>
  <c r="I13" i="5"/>
  <c r="R31" i="5"/>
  <c r="H31" i="5"/>
  <c r="I79" i="5"/>
  <c r="R79" i="5"/>
  <c r="F79" i="5"/>
  <c r="J79" i="5"/>
  <c r="E79" i="5"/>
  <c r="H79" i="5"/>
  <c r="G61" i="5"/>
  <c r="H49" i="5"/>
  <c r="H20" i="5"/>
  <c r="F13" i="5"/>
  <c r="I31" i="5"/>
  <c r="J49" i="5"/>
  <c r="I20" i="5"/>
  <c r="E49" i="5"/>
  <c r="X49" i="5" s="1"/>
  <c r="E50" i="5"/>
  <c r="X50" i="5" s="1"/>
  <c r="R50" i="5"/>
  <c r="I49" i="5"/>
  <c r="H50" i="5"/>
  <c r="F49" i="5"/>
  <c r="F50" i="5"/>
  <c r="I50" i="5"/>
  <c r="H19" i="5"/>
  <c r="I19" i="5"/>
  <c r="G19" i="5"/>
  <c r="F19" i="5"/>
  <c r="R19" i="5"/>
  <c r="J19" i="5"/>
  <c r="E19" i="5"/>
  <c r="R49" i="5"/>
  <c r="E11" i="5"/>
  <c r="F11" i="5"/>
  <c r="H11" i="5"/>
  <c r="J11" i="5"/>
  <c r="I11" i="5"/>
  <c r="R11" i="5"/>
  <c r="F53" i="5"/>
  <c r="E53" i="5"/>
  <c r="J53" i="5"/>
  <c r="R53" i="5"/>
  <c r="H53" i="5"/>
  <c r="I53" i="5"/>
  <c r="I45" i="5"/>
  <c r="R45" i="5"/>
  <c r="H45" i="5"/>
  <c r="F45" i="5"/>
  <c r="J45" i="5"/>
  <c r="E45" i="5"/>
  <c r="E5" i="5"/>
  <c r="H5" i="5"/>
  <c r="F5" i="5"/>
  <c r="R5" i="5"/>
  <c r="I5" i="5"/>
  <c r="J5" i="5"/>
  <c r="G5" i="5"/>
  <c r="I30" i="5"/>
  <c r="E30" i="5"/>
  <c r="J30" i="5"/>
  <c r="F30" i="5"/>
  <c r="R30" i="5"/>
  <c r="H30" i="5"/>
  <c r="H21" i="5"/>
  <c r="I21" i="5"/>
  <c r="R21" i="5"/>
  <c r="J21" i="5"/>
  <c r="F21" i="5"/>
  <c r="E21" i="5"/>
  <c r="E16" i="5"/>
  <c r="F16" i="5"/>
  <c r="H16" i="5"/>
  <c r="J16" i="5"/>
  <c r="R16" i="5"/>
  <c r="I16" i="5"/>
  <c r="F47" i="5"/>
  <c r="E47" i="5"/>
  <c r="I47" i="5"/>
  <c r="H47" i="5"/>
  <c r="R47" i="5"/>
  <c r="J47" i="5"/>
  <c r="G21" i="5"/>
  <c r="F24" i="5"/>
  <c r="R24" i="5"/>
  <c r="J24" i="5"/>
  <c r="H24" i="5"/>
  <c r="I24" i="5"/>
  <c r="E24" i="5"/>
  <c r="J17" i="5"/>
  <c r="H17" i="5"/>
  <c r="E17" i="5"/>
  <c r="I17" i="5"/>
  <c r="R17" i="5"/>
  <c r="F17" i="5"/>
  <c r="G16" i="5"/>
  <c r="G61" i="6"/>
  <c r="H61" i="6" s="1"/>
  <c r="H9" i="5"/>
  <c r="R9" i="5"/>
  <c r="I9" i="5"/>
  <c r="F9" i="5"/>
  <c r="E9" i="5"/>
  <c r="J9" i="5"/>
  <c r="J15" i="5"/>
  <c r="H15" i="5"/>
  <c r="R15" i="5"/>
  <c r="E15" i="5"/>
  <c r="F15" i="5"/>
  <c r="I15" i="5"/>
  <c r="H6" i="5"/>
  <c r="J6" i="5"/>
  <c r="I6" i="5"/>
  <c r="E6" i="5"/>
  <c r="R6" i="5"/>
  <c r="F6" i="5"/>
  <c r="R18" i="5"/>
  <c r="J18" i="5"/>
  <c r="I18" i="5"/>
  <c r="E18" i="5"/>
  <c r="F18" i="5"/>
  <c r="H18" i="5"/>
  <c r="G6" i="5"/>
  <c r="J36" i="5"/>
  <c r="I36" i="5"/>
  <c r="R36" i="5"/>
  <c r="F36" i="5"/>
  <c r="E36" i="5"/>
  <c r="H36" i="5"/>
  <c r="E41" i="5"/>
  <c r="X41" i="5" s="1"/>
  <c r="H41" i="5"/>
  <c r="I41" i="5"/>
  <c r="J41" i="5"/>
  <c r="F41" i="5"/>
  <c r="R41" i="5"/>
  <c r="R35" i="5"/>
  <c r="E35" i="5"/>
  <c r="I35" i="5"/>
  <c r="F35" i="5"/>
  <c r="J35" i="5"/>
  <c r="H35" i="5"/>
  <c r="G18" i="5"/>
  <c r="E22" i="5"/>
  <c r="J22" i="5"/>
  <c r="F22" i="5"/>
  <c r="I22" i="5"/>
  <c r="H22" i="5"/>
  <c r="R22" i="5"/>
  <c r="J57" i="5"/>
  <c r="I57" i="5"/>
  <c r="R57" i="5"/>
  <c r="F57" i="5"/>
  <c r="H57" i="5"/>
  <c r="E57" i="5"/>
  <c r="E52" i="5"/>
  <c r="J52" i="5"/>
  <c r="F52" i="5"/>
  <c r="H52" i="5"/>
  <c r="I52" i="5"/>
  <c r="R52" i="5"/>
  <c r="J51" i="5"/>
  <c r="H51" i="5"/>
  <c r="R51" i="5"/>
  <c r="F51" i="5"/>
  <c r="I51" i="5"/>
  <c r="E51" i="5"/>
  <c r="F38" i="5"/>
  <c r="R38" i="5"/>
  <c r="I38" i="5"/>
  <c r="H38" i="5"/>
  <c r="E38" i="5"/>
  <c r="J38" i="5"/>
  <c r="G38" i="5"/>
  <c r="F27" i="5"/>
  <c r="J27" i="5"/>
  <c r="R27" i="5"/>
  <c r="H27" i="5"/>
  <c r="I27" i="5"/>
  <c r="E27" i="5"/>
  <c r="J44" i="5"/>
  <c r="R44" i="5"/>
  <c r="I44" i="5"/>
  <c r="H44" i="5"/>
  <c r="F44" i="5"/>
  <c r="E44" i="5"/>
  <c r="G44" i="5"/>
  <c r="E28" i="5"/>
  <c r="R28" i="5"/>
  <c r="F28" i="5"/>
  <c r="J28" i="5"/>
  <c r="I28" i="5"/>
  <c r="H28" i="5"/>
  <c r="I23" i="5"/>
  <c r="E23" i="5"/>
  <c r="R23" i="5"/>
  <c r="H23" i="5"/>
  <c r="J23" i="5"/>
  <c r="F23" i="5"/>
  <c r="G22" i="5"/>
  <c r="H39" i="5"/>
  <c r="F39" i="5"/>
  <c r="R39" i="5"/>
  <c r="I39" i="5"/>
  <c r="E39" i="5"/>
  <c r="J39" i="5"/>
  <c r="I42" i="5"/>
  <c r="E42" i="5"/>
  <c r="F42" i="5"/>
  <c r="R42" i="5"/>
  <c r="J42" i="5"/>
  <c r="H42" i="5"/>
  <c r="E34" i="5"/>
  <c r="I34" i="5"/>
  <c r="R34" i="5"/>
  <c r="J34" i="5"/>
  <c r="F34" i="5"/>
  <c r="H34" i="5"/>
  <c r="G28" i="5"/>
  <c r="G23" i="5"/>
  <c r="E40" i="5"/>
  <c r="F40" i="5"/>
  <c r="R40" i="5"/>
  <c r="H40" i="5"/>
  <c r="J40" i="5"/>
  <c r="I40" i="5"/>
  <c r="E48" i="5"/>
  <c r="J48" i="5"/>
  <c r="F48" i="5"/>
  <c r="R48" i="5"/>
  <c r="I48" i="5"/>
  <c r="H48" i="5"/>
  <c r="G39" i="5"/>
  <c r="G27" i="5"/>
  <c r="I54" i="5"/>
  <c r="R54" i="5"/>
  <c r="E54" i="5"/>
  <c r="F54" i="5"/>
  <c r="J54" i="5"/>
  <c r="H54" i="5"/>
  <c r="E10" i="5"/>
  <c r="R10" i="5"/>
  <c r="I10" i="5"/>
  <c r="F10" i="5"/>
  <c r="H10" i="5"/>
  <c r="J10" i="5"/>
  <c r="G42" i="5"/>
  <c r="R33" i="5"/>
  <c r="J33" i="5"/>
  <c r="H33" i="5"/>
  <c r="E33" i="5"/>
  <c r="I33" i="5"/>
  <c r="F33" i="5"/>
  <c r="J12" i="5"/>
  <c r="F12" i="5"/>
  <c r="R12" i="5"/>
  <c r="E12" i="5"/>
  <c r="H12" i="5"/>
  <c r="I12" i="5"/>
  <c r="G34" i="5"/>
  <c r="G11" i="5"/>
  <c r="E29" i="5"/>
  <c r="H29" i="5"/>
  <c r="I29" i="5"/>
  <c r="J29" i="5"/>
  <c r="F29" i="5"/>
  <c r="R29" i="5"/>
  <c r="E46" i="5"/>
  <c r="F46" i="5"/>
  <c r="R46" i="5"/>
  <c r="H46" i="5"/>
  <c r="I46" i="5"/>
  <c r="J46" i="5"/>
  <c r="D39" i="6"/>
  <c r="C39" i="6"/>
  <c r="D24" i="6"/>
  <c r="C24" i="6"/>
  <c r="D57" i="6"/>
  <c r="C57" i="6"/>
  <c r="F50" i="6"/>
  <c r="H50" i="6" s="1"/>
  <c r="H49" i="6"/>
  <c r="D55" i="6"/>
  <c r="C55" i="6"/>
  <c r="D54" i="6"/>
  <c r="C54" i="6"/>
  <c r="D53" i="6"/>
  <c r="C53" i="6"/>
  <c r="D58" i="6"/>
  <c r="C58" i="6"/>
  <c r="D48" i="6"/>
  <c r="C48" i="6"/>
  <c r="S32" i="5"/>
  <c r="S55" i="5"/>
  <c r="S31" i="5"/>
  <c r="S25" i="5"/>
  <c r="S65" i="5"/>
  <c r="S14" i="5"/>
  <c r="S26" i="5"/>
  <c r="S7" i="5"/>
  <c r="S56" i="5"/>
  <c r="S20" i="5"/>
  <c r="S19" i="5"/>
  <c r="S59" i="5"/>
  <c r="S43" i="5"/>
  <c r="X32" i="5" l="1"/>
  <c r="X59" i="5"/>
  <c r="X56" i="5"/>
  <c r="X65" i="5"/>
  <c r="X14" i="5"/>
  <c r="C60" i="6"/>
  <c r="X43" i="5"/>
  <c r="X20" i="5"/>
  <c r="X73" i="5"/>
  <c r="X60" i="5"/>
  <c r="X68" i="5"/>
  <c r="X61" i="5"/>
  <c r="X69" i="5"/>
  <c r="X72" i="5"/>
  <c r="X78" i="5"/>
  <c r="X58" i="5"/>
  <c r="X70" i="5"/>
  <c r="X62" i="5"/>
  <c r="X71" i="5"/>
  <c r="X74" i="5"/>
  <c r="X75" i="5"/>
  <c r="X77" i="5"/>
  <c r="X79" i="5"/>
  <c r="X66" i="5"/>
  <c r="X63" i="5"/>
  <c r="X67" i="5"/>
  <c r="X80" i="5"/>
  <c r="X19" i="5"/>
  <c r="X46" i="5"/>
  <c r="X51" i="5"/>
  <c r="X6" i="5"/>
  <c r="X21" i="5"/>
  <c r="X42" i="5"/>
  <c r="X28" i="5"/>
  <c r="X11" i="5"/>
  <c r="X34" i="5"/>
  <c r="D61" i="6"/>
  <c r="C61" i="6"/>
  <c r="X30" i="5"/>
  <c r="X52" i="5"/>
  <c r="X10" i="5"/>
  <c r="X40" i="5"/>
  <c r="X22" i="5"/>
  <c r="X24" i="5"/>
  <c r="X47" i="5"/>
  <c r="X33" i="5"/>
  <c r="X48" i="5"/>
  <c r="X44" i="5"/>
  <c r="X18" i="5"/>
  <c r="X9" i="5"/>
  <c r="X17" i="5"/>
  <c r="X16" i="5"/>
  <c r="X57" i="5"/>
  <c r="X29" i="5"/>
  <c r="X39" i="5"/>
  <c r="X45" i="5"/>
  <c r="X12" i="5"/>
  <c r="X27" i="5"/>
  <c r="X54" i="5"/>
  <c r="X23" i="5"/>
  <c r="X15" i="5"/>
  <c r="X5" i="5"/>
  <c r="G64" i="6" a="1"/>
  <c r="G64" i="6" s="1"/>
  <c r="H64" i="6" s="1"/>
  <c r="H65" i="6" s="1"/>
  <c r="D2" i="6" s="1"/>
  <c r="X53" i="5"/>
  <c r="X38" i="5"/>
  <c r="X35" i="5"/>
  <c r="X36" i="5"/>
  <c r="D49" i="6"/>
  <c r="C49" i="6"/>
  <c r="D50" i="6"/>
  <c r="C50" i="6"/>
  <c r="S13" i="5"/>
  <c r="T19" i="5"/>
  <c r="S38" i="5"/>
  <c r="S52" i="5"/>
  <c r="S42" i="5"/>
  <c r="S63" i="5"/>
  <c r="S36" i="5"/>
  <c r="S10" i="5"/>
  <c r="T55" i="5"/>
  <c r="S8" i="5"/>
  <c r="S66" i="5"/>
  <c r="S80" i="5"/>
  <c r="S24" i="5"/>
  <c r="T14" i="5"/>
  <c r="S49" i="5"/>
  <c r="T56" i="5"/>
  <c r="S58" i="5"/>
  <c r="S54" i="5"/>
  <c r="T26" i="5"/>
  <c r="T32" i="5"/>
  <c r="S62" i="5"/>
  <c r="T65" i="5"/>
  <c r="S29" i="5"/>
  <c r="S17" i="5"/>
  <c r="S70" i="5"/>
  <c r="S44" i="5"/>
  <c r="S51" i="5"/>
  <c r="S78" i="5"/>
  <c r="S48" i="5"/>
  <c r="S5" i="5"/>
  <c r="S53" i="5"/>
  <c r="S6" i="5"/>
  <c r="S73" i="5"/>
  <c r="S46" i="5"/>
  <c r="S77" i="5"/>
  <c r="S11" i="5"/>
  <c r="S47" i="5"/>
  <c r="S60" i="5"/>
  <c r="S22" i="5"/>
  <c r="S45" i="5"/>
  <c r="S75" i="5"/>
  <c r="S23" i="5"/>
  <c r="S12" i="5"/>
  <c r="S74" i="5"/>
  <c r="S33" i="5"/>
  <c r="S39" i="5"/>
  <c r="S69" i="5"/>
  <c r="T43" i="5"/>
  <c r="S28" i="5"/>
  <c r="T31" i="5"/>
  <c r="S34" i="5"/>
  <c r="S21" i="5"/>
  <c r="S27" i="5"/>
  <c r="S35" i="5"/>
  <c r="T20" i="5"/>
  <c r="S68" i="5"/>
  <c r="S15" i="5"/>
  <c r="S61" i="5"/>
  <c r="S40" i="5"/>
  <c r="S9" i="5"/>
  <c r="S64" i="5"/>
  <c r="S76" i="5"/>
  <c r="S57" i="5"/>
  <c r="S71" i="5"/>
  <c r="S30" i="5"/>
  <c r="S67" i="5"/>
  <c r="S72" i="5"/>
  <c r="T7" i="5"/>
  <c r="S16" i="5"/>
  <c r="S18" i="5"/>
  <c r="T25" i="5"/>
  <c r="S79" i="5"/>
  <c r="T59" i="5"/>
  <c r="T49" i="5" l="1"/>
  <c r="T8" i="5"/>
  <c r="T21" i="5"/>
  <c r="T17" i="5"/>
  <c r="T75" i="5"/>
  <c r="T68" i="5"/>
  <c r="T13" i="5"/>
  <c r="T80" i="5"/>
  <c r="T66" i="5"/>
  <c r="T70" i="5"/>
  <c r="T48" i="5"/>
  <c r="T69" i="5"/>
  <c r="T9" i="5"/>
  <c r="T60" i="5"/>
  <c r="T42" i="5"/>
  <c r="T16" i="5"/>
  <c r="T47" i="5"/>
  <c r="T39" i="5"/>
  <c r="T62" i="5"/>
  <c r="T22" i="5"/>
  <c r="T46" i="5"/>
  <c r="T57" i="5"/>
  <c r="T38" i="5"/>
  <c r="T54" i="5"/>
  <c r="T71" i="5"/>
  <c r="T58" i="5"/>
  <c r="T15" i="5"/>
  <c r="T10" i="5"/>
  <c r="T74" i="5"/>
  <c r="T76" i="5"/>
  <c r="T73" i="5"/>
  <c r="T11" i="5"/>
  <c r="T40" i="5"/>
  <c r="T45" i="5"/>
  <c r="T53" i="5"/>
  <c r="T61" i="5"/>
  <c r="T72" i="5"/>
  <c r="T29" i="5"/>
  <c r="T33" i="5"/>
  <c r="T51" i="5"/>
  <c r="T23" i="5"/>
  <c r="T34" i="5"/>
  <c r="T6" i="5"/>
  <c r="T24" i="5"/>
  <c r="T77" i="5"/>
  <c r="T36" i="5"/>
  <c r="T12" i="5"/>
  <c r="T79" i="5"/>
  <c r="T67" i="5"/>
  <c r="T18" i="5"/>
  <c r="T5" i="5"/>
  <c r="T63" i="5"/>
  <c r="T64" i="5"/>
  <c r="T28" i="5"/>
  <c r="T78" i="5"/>
  <c r="T35" i="5"/>
  <c r="T30" i="5"/>
  <c r="T44" i="5"/>
  <c r="T52" i="5"/>
  <c r="T2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<sst xmlns="http://schemas.openxmlformats.org/spreadsheetml/2006/main" count="23108" uniqueCount="19216">
  <si>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</si>
  <si>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</si>
  <si>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</si>
  <si>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</si>
  <si>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</si>
  <si>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</si>
  <si>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</si>
  <si>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</si>
  <si>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</si>
  <si>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</si>
  <si>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</si>
  <si>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</si>
  <si>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</si>
  <si>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</si>
  <si>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</si>
  <si>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</si>
  <si>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</si>
  <si>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</si>
  <si>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</si>
  <si>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</si>
  <si>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</si>
  <si>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</si>
  <si>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</si>
  <si>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</si>
  <si>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</si>
  <si>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</si>
  <si>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</si>
  <si>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</si>
  <si>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</si>
  <si>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</si>
  <si>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</si>
  <si>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</si>
  <si>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</si>
  <si>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</si>
  <si>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</si>
  <si>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</si>
  <si>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</si>
  <si>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</si>
  <si>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</si>
  <si>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</si>
  <si>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</si>
  <si>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</si>
  <si>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</si>
  <si>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</si>
  <si>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</si>
  <si>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</si>
  <si>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</si>
  <si>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</si>
  <si>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</si>
  <si>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</si>
  <si>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</si>
  <si>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</si>
  <si>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</si>
  <si>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</si>
  <si>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</si>
  <si>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</si>
  <si>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</si>
  <si>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</si>
  <si>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</si>
  <si>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</si>
  <si>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</si>
  <si>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</si>
  <si>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</si>
  <si>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</si>
  <si>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</si>
  <si>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</si>
  <si>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</si>
  <si>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</si>
  <si>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</si>
  <si>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</si>
  <si>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</si>
  <si>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</si>
  <si>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</si>
  <si>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</si>
  <si>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</si>
  <si>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</si>
  <si>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</si>
  <si>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</si>
  <si>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</si>
  <si>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</si>
  <si>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</si>
  <si>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</si>
  <si>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</si>
  <si>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</si>
  <si>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</si>
  <si>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</si>
  <si>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</si>
  <si>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</si>
  <si>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</si>
  <si>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</si>
  <si>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</si>
  <si>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</si>
  <si>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</si>
  <si>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</si>
  <si>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</si>
  <si>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</si>
  <si>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</si>
  <si>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</si>
  <si>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</si>
  <si>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</si>
  <si>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</si>
  <si>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</si>
  <si>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</si>
  <si>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</si>
  <si>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</si>
  <si>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</si>
  <si>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</si>
  <si>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</si>
  <si>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</si>
  <si>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</si>
  <si>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</si>
  <si>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</si>
  <si>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</si>
  <si>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</si>
  <si>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</si>
  <si>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</si>
  <si>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</si>
  <si>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</si>
  <si>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</si>
  <si>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</si>
  <si>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</si>
  <si>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</si>
  <si>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</si>
  <si>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</si>
  <si>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</si>
  <si>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</si>
  <si>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</si>
  <si>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</si>
  <si>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</si>
  <si>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</si>
  <si>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</si>
  <si>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</si>
  <si>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</si>
  <si>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</si>
  <si>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</si>
  <si>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</si>
  <si>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</si>
  <si>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</si>
  <si>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</si>
  <si>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</si>
  <si>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</si>
  <si>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</si>
  <si>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</si>
  <si>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</si>
  <si>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</si>
  <si>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</si>
  <si>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</si>
  <si>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</si>
  <si>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</si>
  <si>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</si>
  <si>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</si>
  <si>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</si>
  <si>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</si>
  <si>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</si>
  <si>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</si>
  <si>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</si>
  <si>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</si>
  <si>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</si>
  <si>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</si>
  <si>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</si>
  <si>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</si>
  <si>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</si>
  <si>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</si>
  <si>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</si>
  <si>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</si>
  <si>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</si>
  <si>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</si>
  <si>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</si>
  <si>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</si>
  <si>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</si>
  <si>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</si>
  <si>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</si>
  <si>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</si>
  <si>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</si>
  <si>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</si>
  <si>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</si>
  <si>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</si>
  <si>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</si>
  <si>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</si>
  <si>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</si>
  <si>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</si>
  <si>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</si>
  <si>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</si>
  <si>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</si>
  <si>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</si>
  <si>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</si>
  <si>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</si>
  <si>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</si>
  <si>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</si>
  <si>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</si>
  <si>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</si>
  <si>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</si>
  <si>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</si>
  <si>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</si>
  <si>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</si>
  <si>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</si>
  <si>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</si>
  <si>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</si>
  <si>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</si>
  <si>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</si>
  <si>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</si>
  <si>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</si>
  <si>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</si>
  <si>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</si>
  <si>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</si>
  <si>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</si>
  <si>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</si>
  <si>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</si>
  <si>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</si>
  <si>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</si>
  <si>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</si>
  <si>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</si>
  <si>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</si>
  <si>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</si>
  <si>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</si>
  <si>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</si>
  <si>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</si>
  <si>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</si>
  <si>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</si>
  <si>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</si>
  <si>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</si>
  <si>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</si>
  <si>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</si>
  <si>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</si>
  <si>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</si>
  <si>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</si>
  <si>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</si>
  <si>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</si>
  <si>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</si>
  <si>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</si>
  <si>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</si>
  <si>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</si>
  <si>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</si>
  <si>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</si>
  <si>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</si>
  <si>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</si>
  <si>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</si>
  <si>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</si>
  <si>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</si>
  <si>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</si>
  <si>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</si>
  <si>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</si>
  <si>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</si>
  <si>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</si>
  <si>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</si>
  <si>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</si>
  <si>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</si>
  <si>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</si>
  <si>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</si>
  <si>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</si>
  <si>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</si>
  <si>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</si>
  <si>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</si>
  <si>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</si>
  <si>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</si>
  <si>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</si>
  <si>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</si>
  <si>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</si>
  <si>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</si>
  <si>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</si>
  <si>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</si>
  <si>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</si>
  <si>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</si>
  <si>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</si>
  <si>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</si>
  <si>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</si>
  <si>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</si>
  <si>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</si>
  <si>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</si>
  <si>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</si>
  <si>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</si>
  <si>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</si>
  <si>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</si>
  <si>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</si>
  <si>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</si>
  <si>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</si>
  <si>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</si>
  <si>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</si>
  <si>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</si>
  <si>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</si>
  <si>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</si>
  <si>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</si>
  <si>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</si>
  <si>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</si>
  <si>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</si>
  <si>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</si>
  <si>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</si>
  <si>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</si>
  <si>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</si>
  <si>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</si>
  <si>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</si>
  <si>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</si>
  <si>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</si>
  <si>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</si>
  <si>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</si>
  <si>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</si>
  <si>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</si>
  <si>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</si>
  <si>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</si>
  <si>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</si>
  <si>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</si>
  <si>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</si>
  <si>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</si>
  <si>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</si>
  <si>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</si>
  <si>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</si>
  <si>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</si>
  <si>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</si>
  <si>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</si>
  <si>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</si>
  <si>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</si>
  <si>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</si>
  <si>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</si>
  <si>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</si>
  <si>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</si>
  <si>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</si>
  <si>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</si>
  <si>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</si>
  <si>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</si>
  <si>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</si>
  <si>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</si>
  <si>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</si>
  <si>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</si>
  <si>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</si>
  <si>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</si>
  <si>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</si>
  <si>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</si>
  <si>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</si>
  <si>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</si>
  <si>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</si>
  <si>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</si>
  <si>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</si>
  <si>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</si>
  <si>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</si>
  <si>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</si>
  <si>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</si>
  <si>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</si>
  <si>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</si>
  <si>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</si>
  <si>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</si>
  <si>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</si>
  <si>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</si>
  <si>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</si>
  <si>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</si>
  <si>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</si>
  <si>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</si>
  <si>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</si>
  <si>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</si>
  <si>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</si>
  <si>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</si>
  <si>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</si>
  <si>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</si>
  <si>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</si>
  <si>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</si>
  <si>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</si>
  <si>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</si>
  <si>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</si>
  <si>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</si>
  <si>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</si>
  <si>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</si>
  <si>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</si>
  <si>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</si>
  <si>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</si>
  <si>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</si>
  <si>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</si>
  <si>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</si>
  <si>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</si>
  <si>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</si>
  <si>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</si>
  <si>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</si>
  <si>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</si>
  <si>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</si>
  <si>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</si>
  <si>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</si>
  <si>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</si>
  <si>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</si>
  <si>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</si>
  <si>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</si>
  <si>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</si>
  <si>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</si>
  <si>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</si>
  <si>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</si>
  <si>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</si>
  <si>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</si>
  <si>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</si>
  <si>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</si>
  <si>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</si>
  <si>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</si>
  <si>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</si>
  <si>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</si>
  <si>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</si>
  <si>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</si>
  <si>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</si>
  <si>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</si>
  <si>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</si>
  <si>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</si>
  <si>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</si>
  <si>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</si>
  <si>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</si>
  <si>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</si>
  <si>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</si>
  <si>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</si>
  <si>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</si>
  <si>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</si>
  <si>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</si>
  <si>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</si>
  <si>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</si>
  <si>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</si>
  <si>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</si>
  <si>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</si>
  <si>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</si>
  <si>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</si>
  <si>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</si>
  <si>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</si>
  <si>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</si>
  <si>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</si>
  <si>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</si>
  <si>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</si>
  <si>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</si>
  <si>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</si>
  <si>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</si>
  <si>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</si>
  <si>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</si>
  <si>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</si>
  <si>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</si>
  <si>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</si>
  <si>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</si>
  <si>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</si>
  <si>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</si>
  <si>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</si>
  <si>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</si>
  <si>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</si>
  <si>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</si>
  <si>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</si>
  <si>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</si>
  <si>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</si>
  <si>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</si>
  <si>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</si>
  <si>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</si>
  <si>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</si>
  <si>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</si>
  <si>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</si>
  <si>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</si>
  <si>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</si>
  <si>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</si>
  <si>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</si>
  <si>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</si>
  <si>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</si>
  <si>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</si>
  <si>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</si>
  <si>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</si>
  <si>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</si>
  <si>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</si>
  <si>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</si>
  <si>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</si>
  <si>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</si>
  <si>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</si>
  <si>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</si>
  <si>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</si>
  <si>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</si>
  <si>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</si>
  <si>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</si>
  <si>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</si>
  <si>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</si>
  <si>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</si>
  <si>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</si>
  <si>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</si>
  <si>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</si>
  <si>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</si>
  <si>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</si>
  <si>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</si>
  <si>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</si>
  <si>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</si>
  <si>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</si>
  <si>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</si>
  <si>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</si>
  <si>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</si>
  <si>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</si>
  <si>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</si>
  <si>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</si>
  <si>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</si>
  <si>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</si>
  <si>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</si>
  <si>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</si>
  <si>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</si>
  <si>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</si>
  <si>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</si>
  <si>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</si>
  <si>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</si>
  <si>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</si>
  <si>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</si>
  <si>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</si>
  <si>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</si>
  <si>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</si>
  <si>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</si>
  <si>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</si>
  <si>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</si>
  <si>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</si>
  <si>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</si>
  <si>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</si>
  <si>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</si>
  <si>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</si>
  <si>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</si>
  <si>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</si>
  <si>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</si>
  <si>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</si>
  <si>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</si>
  <si>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</si>
  <si>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</si>
  <si>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</si>
  <si>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</si>
  <si>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</si>
  <si>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</si>
  <si>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</si>
  <si>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</si>
  <si>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</si>
  <si>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</si>
  <si>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</si>
  <si>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</si>
  <si>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</si>
  <si>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</si>
  <si>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</si>
  <si>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</si>
  <si>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</si>
  <si>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</si>
  <si>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</si>
  <si>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</si>
  <si>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</si>
  <si>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</si>
  <si>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</si>
  <si>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</si>
  <si>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</si>
  <si>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</si>
  <si>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</si>
  <si>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</si>
  <si>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</si>
  <si>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</si>
  <si>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</si>
  <si>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</si>
  <si>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</si>
  <si>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</si>
  <si>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</si>
  <si>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</si>
  <si>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</si>
  <si>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</si>
  <si>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</si>
  <si>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</si>
  <si>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</si>
  <si>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</si>
  <si>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</si>
  <si>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</si>
  <si>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</si>
  <si>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</si>
  <si>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</si>
  <si>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</si>
  <si>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</si>
  <si>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</si>
  <si>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</si>
  <si>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</si>
  <si>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</si>
  <si>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</si>
  <si>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</si>
  <si>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</si>
  <si>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</si>
  <si>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</si>
  <si>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</si>
  <si>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</si>
  <si>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</si>
  <si>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</si>
  <si>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</si>
  <si>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</si>
  <si>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</si>
  <si>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</si>
  <si>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</si>
  <si>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</si>
  <si>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</si>
  <si>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</si>
  <si>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</si>
  <si>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</si>
  <si>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</si>
  <si>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</si>
  <si>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</si>
  <si>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</si>
  <si>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</si>
  <si>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</si>
  <si>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</si>
  <si>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</si>
  <si>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</si>
  <si>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</si>
  <si>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</si>
  <si>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</si>
  <si>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</si>
  <si>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</si>
  <si>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</si>
  <si>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</si>
  <si>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</si>
  <si>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</si>
  <si>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</si>
  <si>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</si>
  <si>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</si>
  <si>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</si>
  <si>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</si>
  <si>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</si>
  <si>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</si>
  <si>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</si>
  <si>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</si>
  <si>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</si>
  <si>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</si>
  <si>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</si>
  <si>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</si>
  <si>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</si>
  <si>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</si>
  <si>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</si>
  <si>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</si>
  <si>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</si>
  <si>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</si>
  <si>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</si>
  <si>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</si>
  <si>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</si>
  <si>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</si>
  <si>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</si>
  <si>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</si>
  <si>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</si>
  <si>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</si>
  <si>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</si>
  <si>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</si>
  <si>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</si>
  <si>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</si>
  <si>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</si>
  <si>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</si>
  <si>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</si>
  <si>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</si>
  <si>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</si>
  <si>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</si>
  <si>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</si>
  <si>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</si>
  <si>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</si>
  <si>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</si>
  <si>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</si>
  <si>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</si>
  <si>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</si>
  <si>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</si>
  <si>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</si>
  <si>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</si>
  <si>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</si>
  <si>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</si>
  <si>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</si>
  <si>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</si>
  <si>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</si>
  <si>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</si>
  <si>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</si>
  <si>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</si>
  <si>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</si>
  <si>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</si>
  <si>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</si>
  <si>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</si>
  <si>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</si>
  <si>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</si>
  <si>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</si>
  <si>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</si>
  <si>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</si>
  <si>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</si>
  <si>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</si>
  <si>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</si>
  <si>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</si>
  <si>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</si>
  <si>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</si>
  <si>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</si>
  <si>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</si>
  <si>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</si>
  <si>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</si>
  <si>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</si>
  <si>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</si>
  <si>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</si>
  <si>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</si>
  <si>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</si>
  <si>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</si>
  <si>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</si>
  <si>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</si>
  <si>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</si>
  <si>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</si>
  <si>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</si>
  <si>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</si>
  <si>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</si>
  <si>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</si>
  <si>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</si>
  <si>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</si>
  <si>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</si>
  <si>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</si>
  <si>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</si>
  <si>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</si>
  <si>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</si>
  <si>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</si>
  <si>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</si>
  <si>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</si>
  <si>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</si>
  <si>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</si>
  <si>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</si>
  <si>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</si>
  <si>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</si>
  <si>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</si>
  <si>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</si>
  <si>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</si>
  <si>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</si>
  <si>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</si>
  <si>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</si>
  <si>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</si>
  <si>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</si>
  <si>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</si>
  <si>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</si>
  <si>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</si>
  <si>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</si>
  <si>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</si>
  <si>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</si>
  <si>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</si>
  <si>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</si>
  <si>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</si>
  <si>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</si>
  <si>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</si>
  <si>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</si>
  <si>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</si>
  <si>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</si>
  <si>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</si>
  <si>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</si>
  <si>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</si>
  <si>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</si>
  <si>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</si>
  <si>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</si>
  <si>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</si>
  <si>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</si>
  <si>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</si>
  <si>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</si>
  <si>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</si>
  <si>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</si>
  <si>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</si>
  <si>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</si>
  <si>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</si>
  <si>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</si>
  <si>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</si>
  <si>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</si>
  <si>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</si>
  <si>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</si>
  <si>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</si>
  <si>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</si>
  <si>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</si>
  <si>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</si>
  <si>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</si>
  <si>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</si>
  <si>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</si>
  <si>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</si>
  <si>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</si>
  <si>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</si>
  <si>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</si>
  <si>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</si>
  <si>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</si>
  <si>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</si>
  <si>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</si>
  <si>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</si>
  <si>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</si>
  <si>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</si>
  <si>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</si>
  <si>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</si>
  <si>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</si>
  <si>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</si>
  <si>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</si>
  <si>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</si>
  <si>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</si>
  <si>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</si>
  <si>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</si>
  <si>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</si>
  <si>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</si>
  <si>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</si>
  <si>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</si>
  <si>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</si>
  <si>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</si>
  <si>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</si>
  <si>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</si>
  <si>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</si>
  <si>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</si>
  <si>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</si>
  <si>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</si>
  <si>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</si>
  <si>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</si>
  <si>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</si>
  <si>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</si>
  <si>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</si>
  <si>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</si>
  <si>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</si>
  <si>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</si>
  <si>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</si>
  <si>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</si>
  <si>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</si>
  <si>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</si>
  <si>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</si>
  <si>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</si>
  <si>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</si>
  <si>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</si>
  <si>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</si>
  <si>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</si>
  <si>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</si>
  <si>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</si>
  <si>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</si>
  <si>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</si>
  <si>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</si>
  <si>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</si>
  <si>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</si>
  <si>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</si>
  <si>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</si>
  <si>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</si>
  <si>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</si>
  <si>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</si>
  <si>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</si>
  <si>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</si>
  <si>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</si>
  <si>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</si>
  <si>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</si>
  <si>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</si>
  <si>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</si>
  <si>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</si>
  <si>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</si>
  <si>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</si>
  <si>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</si>
  <si>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</si>
  <si>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</si>
  <si>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</si>
  <si>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</si>
  <si>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</si>
  <si>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</si>
  <si>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</si>
  <si>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</si>
  <si>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</si>
  <si>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</si>
  <si>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</si>
  <si>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</si>
  <si>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</si>
  <si>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</si>
  <si>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</si>
  <si>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</si>
  <si>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</si>
  <si>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</si>
  <si>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</si>
  <si>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</si>
  <si>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</si>
  <si>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</si>
  <si>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</si>
  <si>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</si>
  <si>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</si>
  <si>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</si>
  <si>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</si>
  <si>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</si>
  <si>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</si>
  <si>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</si>
  <si>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</si>
  <si>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</si>
  <si>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</si>
  <si>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</si>
  <si>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</si>
  <si>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</si>
  <si>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</si>
  <si>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</si>
  <si>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</si>
  <si>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</si>
  <si>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</si>
  <si>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</si>
  <si>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</si>
  <si>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</si>
  <si>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</si>
  <si>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</si>
  <si>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</si>
  <si>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</si>
  <si>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</si>
  <si>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</si>
  <si>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</si>
  <si>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</si>
  <si>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</si>
  <si>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</si>
  <si>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</si>
  <si>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</si>
  <si>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</si>
  <si>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</si>
  <si>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</si>
  <si>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</si>
  <si>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</si>
  <si>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</si>
  <si>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</si>
  <si>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</si>
  <si>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</si>
  <si>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</si>
  <si>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</si>
  <si>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</si>
  <si>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</si>
  <si>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</si>
  <si>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</si>
  <si>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</si>
  <si>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</si>
  <si>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</si>
  <si>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</si>
  <si>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</si>
  <si>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</si>
  <si>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</si>
  <si>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</si>
  <si>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</si>
  <si>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</si>
  <si>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</si>
  <si>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</si>
  <si>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</si>
  <si>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</si>
  <si>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</si>
  <si>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</si>
  <si>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</si>
  <si>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</si>
  <si>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</si>
  <si>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</si>
  <si>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</si>
  <si>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</si>
  <si>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</si>
  <si>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</si>
  <si>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</si>
  <si>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</si>
  <si>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</si>
  <si>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</si>
  <si>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</si>
  <si>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</si>
  <si>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</si>
  <si>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</si>
  <si>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</si>
  <si>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</si>
  <si>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</si>
  <si>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</si>
  <si>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</si>
  <si>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</si>
  <si>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</si>
  <si>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</si>
  <si>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</si>
  <si>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</si>
  <si>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</si>
  <si>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</si>
  <si>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</si>
  <si>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</si>
  <si>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</si>
  <si>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</si>
  <si>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</si>
  <si>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</si>
  <si>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</si>
  <si>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</si>
  <si>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</si>
  <si>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</si>
  <si>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</si>
  <si>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</si>
  <si>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</si>
  <si>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</si>
  <si>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</si>
  <si>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</si>
  <si>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</si>
  <si>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</si>
  <si>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</si>
  <si>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</si>
  <si>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</si>
  <si>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</si>
  <si>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</si>
  <si>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</si>
  <si>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</si>
  <si>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</si>
  <si>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</si>
  <si>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</si>
  <si>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</si>
  <si>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</si>
  <si>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</si>
  <si>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</si>
  <si>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</si>
  <si>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</si>
  <si>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</si>
  <si>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</si>
  <si>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</si>
  <si>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</si>
  <si>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</si>
  <si>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</si>
  <si>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</si>
  <si>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</si>
  <si>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</si>
  <si>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</si>
  <si>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</si>
  <si>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</si>
  <si>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</si>
  <si>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</si>
  <si>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</si>
  <si>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</si>
  <si>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</si>
  <si>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</si>
  <si>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</si>
  <si>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</si>
  <si>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</si>
  <si>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</si>
  <si>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</si>
  <si>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</si>
  <si>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</si>
  <si>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</si>
  <si>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</si>
  <si>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</si>
  <si>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</si>
  <si>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</si>
  <si>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</si>
  <si>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</si>
  <si>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</si>
  <si>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</si>
  <si>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</si>
  <si>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</si>
  <si>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</si>
  <si>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</si>
  <si>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</si>
  <si>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</si>
  <si>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</si>
  <si>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</si>
  <si>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</si>
  <si>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</si>
  <si>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</si>
  <si>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</si>
  <si>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</si>
  <si>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</si>
  <si>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</si>
  <si>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</si>
  <si>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</si>
  <si>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</si>
  <si>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</si>
  <si>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</si>
  <si>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</si>
  <si>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</si>
  <si>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</si>
  <si>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</si>
  <si>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</si>
  <si>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</si>
  <si>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</si>
  <si>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</si>
  <si>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</si>
  <si>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</si>
  <si>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</si>
  <si>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</si>
  <si>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</si>
  <si>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</si>
  <si>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</si>
  <si>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</si>
  <si>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</si>
  <si>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</si>
  <si>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</si>
  <si>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</si>
  <si>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</si>
  <si>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</si>
  <si>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</si>
  <si>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</si>
  <si>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</si>
  <si>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</si>
  <si>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</si>
  <si>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</si>
  <si>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</si>
  <si>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</si>
  <si>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</si>
  <si>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</si>
  <si>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</si>
  <si>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</si>
  <si>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</si>
  <si>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</si>
  <si>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</si>
  <si>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</si>
  <si>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</si>
  <si>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</si>
  <si>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</si>
  <si>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</si>
  <si>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</si>
  <si>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</si>
  <si>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</si>
  <si>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</si>
  <si>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</si>
  <si>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</si>
  <si>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</si>
  <si>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</si>
  <si>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</si>
  <si>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</si>
  <si>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</si>
  <si>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</si>
  <si>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</si>
  <si>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</si>
  <si>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</si>
  <si>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</si>
  <si>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</si>
  <si>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</si>
  <si>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</si>
  <si>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</si>
  <si>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</si>
  <si>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</si>
  <si>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</si>
  <si>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</si>
  <si>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</si>
  <si>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</si>
  <si>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</si>
  <si>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</si>
  <si>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</si>
  <si>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</si>
  <si>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</si>
  <si>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</si>
  <si>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</si>
  <si>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</si>
  <si>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</si>
  <si>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</si>
  <si>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</si>
  <si>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</si>
  <si>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</si>
  <si>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</si>
  <si>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</si>
  <si>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</si>
  <si>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</si>
  <si>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</si>
  <si>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</si>
  <si>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</si>
  <si>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</si>
  <si>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</si>
  <si>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</si>
  <si>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</si>
  <si>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</si>
  <si>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</si>
  <si>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</si>
  <si>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</si>
  <si>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</si>
  <si>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</si>
  <si>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</si>
  <si>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</si>
  <si>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</si>
  <si>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</si>
  <si>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</si>
  <si>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</si>
  <si>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</si>
  <si>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</si>
  <si>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</si>
  <si>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</si>
  <si>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</si>
  <si>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</si>
  <si>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</si>
  <si>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</si>
  <si>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</si>
  <si>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</si>
  <si>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</si>
  <si>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</si>
  <si>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</si>
  <si>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</si>
  <si>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</si>
  <si>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</si>
  <si>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</si>
  <si>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</si>
  <si>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</si>
  <si>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</si>
  <si>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</si>
  <si>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</si>
  <si>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</si>
  <si>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</si>
  <si>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</si>
  <si>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</si>
  <si>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</si>
  <si>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</si>
  <si>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</si>
  <si>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</si>
  <si>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</si>
  <si>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</si>
  <si>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</si>
  <si>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</si>
  <si>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</si>
  <si>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</si>
  <si>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</si>
  <si>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</si>
  <si>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</si>
  <si>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</si>
  <si>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</si>
  <si>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</si>
  <si>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</si>
  <si>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</si>
  <si>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</si>
  <si>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</si>
  <si>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</si>
  <si>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</si>
  <si>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</si>
  <si>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</si>
  <si>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</si>
  <si>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</si>
  <si>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</si>
  <si>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</si>
  <si>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</si>
  <si>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</si>
  <si>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</si>
  <si>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</si>
  <si>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</si>
  <si>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</si>
  <si>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</si>
  <si>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</si>
  <si>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</si>
  <si>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</si>
  <si>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</si>
  <si>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</si>
  <si>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</si>
  <si>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</si>
  <si>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</si>
  <si>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</si>
  <si>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</si>
  <si>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</si>
  <si>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</si>
  <si>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</si>
  <si>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</si>
  <si>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</si>
  <si>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</si>
  <si>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</si>
  <si>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</si>
  <si>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</si>
  <si>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</si>
  <si>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</si>
  <si>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</si>
  <si>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</si>
  <si>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</si>
  <si>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</si>
  <si>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</si>
  <si>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</si>
  <si>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</si>
  <si>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</si>
  <si>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</si>
  <si>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</si>
  <si>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</si>
  <si>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</si>
  <si>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</si>
  <si>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</si>
  <si>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</si>
  <si>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</si>
  <si>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</si>
  <si>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</si>
  <si>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</si>
  <si>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</si>
  <si>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</si>
  <si>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</si>
  <si>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</si>
  <si>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</si>
  <si>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</si>
  <si>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</si>
  <si>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</si>
  <si>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</si>
  <si>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</si>
  <si>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</si>
  <si>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</si>
  <si>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</si>
  <si>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</si>
  <si>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</si>
  <si>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</si>
  <si>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</si>
  <si>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</si>
  <si>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</si>
  <si>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</si>
  <si>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</si>
  <si>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</si>
  <si>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</si>
  <si>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</si>
  <si>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</si>
  <si>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</si>
  <si>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</si>
  <si>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</si>
  <si>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</si>
  <si>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</si>
  <si>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</si>
  <si>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</si>
  <si>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</si>
  <si>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</si>
  <si>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</si>
  <si>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</si>
  <si>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</si>
  <si>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</si>
  <si>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</si>
  <si>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</si>
  <si>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</si>
  <si>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</si>
  <si>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</si>
  <si>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</si>
  <si>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</si>
  <si>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</si>
  <si>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</si>
  <si>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</si>
  <si>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</si>
  <si>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</si>
  <si>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</si>
  <si>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</si>
  <si>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</si>
  <si>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</si>
  <si>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</si>
  <si>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</si>
  <si>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</si>
  <si>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</si>
  <si>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</si>
  <si>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</si>
  <si>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</si>
  <si>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</si>
  <si>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</si>
  <si>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</si>
  <si>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</si>
  <si>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</si>
  <si>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</si>
  <si>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</si>
  <si>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</si>
  <si>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</si>
  <si>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</si>
  <si>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</si>
  <si>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</si>
  <si>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</si>
  <si>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</si>
  <si>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</si>
  <si>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</si>
  <si>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</si>
  <si>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</si>
  <si>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</si>
  <si>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</si>
  <si>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</si>
  <si>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</si>
  <si>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</si>
  <si>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</si>
  <si>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</si>
  <si>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</si>
  <si>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</si>
  <si>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</si>
  <si>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</si>
  <si>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</si>
  <si>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</si>
  <si>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</si>
  <si>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</si>
  <si>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</si>
  <si>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</si>
  <si>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</si>
  <si>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</si>
  <si>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</si>
  <si>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</si>
  <si>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</si>
  <si>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</si>
  <si>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</si>
  <si>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</si>
  <si>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</si>
  <si>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</si>
  <si>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</si>
  <si>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</si>
  <si>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</si>
  <si>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</si>
  <si>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</si>
  <si>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</si>
  <si>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</si>
  <si>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</si>
  <si>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</si>
  <si>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</si>
  <si>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</si>
  <si>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</si>
  <si>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</si>
  <si>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</si>
  <si>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</si>
  <si>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</si>
  <si>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</si>
  <si>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</si>
  <si>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</si>
  <si>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</si>
  <si>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</si>
  <si>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</si>
  <si>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</si>
  <si>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</si>
  <si>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</si>
  <si>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</si>
  <si>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</si>
  <si>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</si>
  <si>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</si>
  <si>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</si>
  <si>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</si>
  <si>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</si>
  <si>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</si>
  <si>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</si>
  <si>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</si>
  <si>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</si>
  <si>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</si>
  <si>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</si>
  <si>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</si>
  <si>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</si>
  <si>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</si>
  <si>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</si>
  <si>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</si>
  <si>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</si>
  <si>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</si>
  <si>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</si>
  <si>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</si>
  <si>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</si>
  <si>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</si>
  <si>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</si>
  <si>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</si>
  <si>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</si>
  <si>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</si>
  <si>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</si>
  <si>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</si>
  <si>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</si>
  <si>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</si>
  <si>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</si>
  <si>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</si>
  <si>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</si>
  <si>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</si>
  <si>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</si>
  <si>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</si>
  <si>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</si>
  <si>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</si>
  <si>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</si>
  <si>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</si>
  <si>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</si>
  <si>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</si>
  <si>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</si>
  <si>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</si>
  <si>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</si>
  <si>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</si>
  <si>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</si>
  <si>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</si>
  <si>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</si>
  <si>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</si>
  <si>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</si>
  <si>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</si>
  <si>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</si>
  <si>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</si>
  <si>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</si>
  <si>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</si>
  <si>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</si>
  <si>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</si>
  <si>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</si>
  <si>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</si>
  <si>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</si>
  <si>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</si>
  <si>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</si>
  <si>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</si>
  <si>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</si>
  <si>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</si>
  <si>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</si>
  <si>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</si>
  <si>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</si>
  <si>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</si>
  <si>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</si>
  <si>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</si>
  <si>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</si>
  <si>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</si>
  <si>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</si>
  <si>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</si>
  <si>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</si>
  <si>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</si>
  <si>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</si>
  <si>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</si>
  <si>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</si>
  <si>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</si>
  <si>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</si>
  <si>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</si>
  <si>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</si>
  <si>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</si>
  <si>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</si>
  <si>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</si>
  <si>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</si>
  <si>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</si>
  <si>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</si>
  <si>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</si>
  <si>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</si>
  <si>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</si>
  <si>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</si>
  <si>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</si>
  <si>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</si>
  <si>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</si>
  <si>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</si>
  <si>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</si>
  <si>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</si>
  <si>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</si>
  <si>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</si>
  <si>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</si>
  <si>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</si>
  <si>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</si>
  <si>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</si>
  <si>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</si>
  <si>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</si>
  <si>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</si>
  <si>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</si>
  <si>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</si>
  <si>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</si>
  <si>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</si>
  <si>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</si>
  <si>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</si>
  <si>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</si>
  <si>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</si>
  <si>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</si>
  <si>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</si>
  <si>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</si>
  <si>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</si>
  <si>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</si>
  <si>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</si>
  <si>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</si>
  <si>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</si>
  <si>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</si>
  <si>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</si>
  <si>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</si>
  <si>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</si>
  <si>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</si>
  <si>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</si>
  <si>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</si>
  <si>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</si>
  <si>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</si>
  <si>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</si>
  <si>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</si>
  <si>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</si>
  <si>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</si>
  <si>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</si>
  <si>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</si>
  <si>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</si>
  <si>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</si>
  <si>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</si>
  <si>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</si>
  <si>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</si>
  <si>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</si>
  <si>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</si>
  <si>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</si>
  <si>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</si>
  <si>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</si>
  <si>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</si>
  <si>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</si>
  <si>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</si>
  <si>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</si>
  <si>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</si>
  <si>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</si>
  <si>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</si>
  <si>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</si>
  <si>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</si>
  <si>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</si>
  <si>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</si>
  <si>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</si>
  <si>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</si>
  <si>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</si>
  <si>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</si>
  <si>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</si>
  <si>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</si>
  <si>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</si>
  <si>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</si>
  <si>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</si>
  <si>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</si>
  <si>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</si>
  <si>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</si>
  <si>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</si>
  <si>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</si>
  <si>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</si>
  <si>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</si>
  <si>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</si>
  <si>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</si>
  <si>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</si>
  <si>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</si>
  <si>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</si>
  <si>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</si>
  <si>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</si>
  <si>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</si>
  <si>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</si>
  <si>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</si>
  <si>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</si>
  <si>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</si>
  <si>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</si>
  <si>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</si>
  <si>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</si>
  <si>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</si>
  <si>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</si>
  <si>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</si>
  <si>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</si>
  <si>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</si>
  <si>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</si>
  <si>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</si>
  <si>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</si>
  <si>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</si>
  <si>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</si>
  <si>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</si>
  <si>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</si>
  <si>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</si>
  <si>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</si>
  <si>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</si>
  <si>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</si>
  <si>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</si>
  <si>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</si>
  <si>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</si>
  <si>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</si>
  <si>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</si>
  <si>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</si>
  <si>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</si>
  <si>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</si>
  <si>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</si>
  <si>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</si>
  <si>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</si>
  <si>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</si>
  <si>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</si>
  <si>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</si>
  <si>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</si>
  <si>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</si>
  <si>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</si>
  <si>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</si>
  <si>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</si>
  <si>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</si>
  <si>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</si>
  <si>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</si>
  <si>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</si>
  <si>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</si>
  <si>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</si>
  <si>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</si>
  <si>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</si>
  <si>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</si>
  <si>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</si>
  <si>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</si>
  <si>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</si>
  <si>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</si>
  <si>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</si>
  <si>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</si>
  <si>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</si>
  <si>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</si>
  <si>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</si>
  <si>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</si>
  <si>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</si>
  <si>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</si>
  <si>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</si>
  <si>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</si>
  <si>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</si>
  <si>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</si>
  <si>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</si>
  <si>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</si>
  <si>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</si>
  <si>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</si>
  <si>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</si>
  <si>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</si>
  <si>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</si>
  <si>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</si>
  <si>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</si>
  <si>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</si>
  <si>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</si>
  <si>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</si>
  <si>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</si>
  <si>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</si>
  <si>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</si>
  <si>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</si>
  <si>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</si>
  <si>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</si>
  <si>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</si>
  <si>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</si>
  <si>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</si>
  <si>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</si>
  <si>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</si>
  <si>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</si>
  <si>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</si>
  <si>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</si>
  <si>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</si>
  <si>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</si>
  <si>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</si>
  <si>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</si>
  <si>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</si>
  <si>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</si>
  <si>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</si>
  <si>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</si>
  <si>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</si>
  <si>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</si>
  <si>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</si>
  <si>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</si>
  <si>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</si>
  <si>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</si>
  <si>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</si>
  <si>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</si>
  <si>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</si>
  <si>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</si>
  <si>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</si>
  <si>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</si>
  <si>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</si>
  <si>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</si>
  <si>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</si>
  <si>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</si>
  <si>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</si>
  <si>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</si>
  <si>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</si>
  <si>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</si>
  <si>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</si>
  <si>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</si>
  <si>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</si>
  <si>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</si>
  <si>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</si>
  <si>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</si>
  <si>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</si>
  <si>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</si>
  <si>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</si>
  <si>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</si>
  <si>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</si>
  <si>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</si>
  <si>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</si>
  <si>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</si>
  <si>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</si>
  <si>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</si>
  <si>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</si>
  <si>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</si>
  <si>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</si>
  <si>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</si>
  <si>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</si>
  <si>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</si>
  <si>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</si>
  <si>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</si>
  <si>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</si>
  <si>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</si>
  <si>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</si>
  <si>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</si>
  <si>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</si>
  <si>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</si>
  <si>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</si>
  <si>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</si>
  <si>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</si>
  <si>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</si>
  <si>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</si>
  <si>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</si>
  <si>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</si>
  <si>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</si>
  <si>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</si>
  <si>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</si>
  <si>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</si>
  <si>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</si>
  <si>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</si>
  <si>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</si>
  <si>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</si>
  <si>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</si>
  <si>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</si>
  <si>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</si>
  <si>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</si>
  <si>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</si>
  <si>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</si>
  <si>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</si>
  <si>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</si>
  <si>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</si>
  <si>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</si>
  <si>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</si>
  <si>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</si>
  <si>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</si>
  <si>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</si>
  <si>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</si>
  <si>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</si>
  <si>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</si>
  <si>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</si>
  <si>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</si>
  <si>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</si>
  <si>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</si>
  <si>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</si>
  <si>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</si>
  <si>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</si>
  <si>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</si>
  <si>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</si>
  <si>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</si>
  <si>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</si>
  <si>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</si>
  <si>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</si>
  <si>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</si>
  <si>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</si>
  <si>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</si>
  <si>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</si>
  <si>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</si>
  <si>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</si>
  <si>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</si>
  <si>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</si>
  <si>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</si>
  <si>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</si>
  <si>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</si>
  <si>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</si>
  <si>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</si>
  <si>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</si>
  <si>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</si>
  <si>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</si>
  <si>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</si>
  <si>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</si>
  <si>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</si>
  <si>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</si>
  <si>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</si>
  <si>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</si>
  <si>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</si>
  <si>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</si>
  <si>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</si>
  <si>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</si>
  <si>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</si>
  <si>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</si>
  <si>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</si>
  <si>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</si>
  <si>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</si>
  <si>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</si>
  <si>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</si>
  <si>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</si>
  <si>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</si>
  <si>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</si>
  <si>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</si>
  <si>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</si>
  <si>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</si>
  <si>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</si>
  <si>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</si>
  <si>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</si>
  <si>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</si>
  <si>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</si>
  <si>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</si>
  <si>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</si>
  <si>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</si>
  <si>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</si>
  <si>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</si>
  <si>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</si>
  <si>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</si>
  <si>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</si>
  <si>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</si>
  <si>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</si>
  <si>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</si>
  <si>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</si>
  <si>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</si>
  <si>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</si>
  <si>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</si>
  <si>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</si>
  <si>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</si>
  <si>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</si>
  <si>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</si>
  <si>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</si>
  <si>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</si>
  <si>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</si>
  <si>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</si>
  <si>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</si>
  <si>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</si>
  <si>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</si>
  <si>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</si>
  <si>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</si>
  <si>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</si>
  <si>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</si>
  <si>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</si>
  <si>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</si>
  <si>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</si>
  <si>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</si>
  <si>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</si>
  <si>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</si>
  <si>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</si>
  <si>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</si>
  <si>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</si>
  <si>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</si>
  <si>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</si>
  <si>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</si>
  <si>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</si>
  <si>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</si>
  <si>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</si>
  <si>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</si>
  <si>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</si>
  <si>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</si>
  <si>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</si>
  <si>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</si>
  <si>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</si>
  <si>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</si>
  <si>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</si>
  <si>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</si>
  <si>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</si>
  <si>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</si>
  <si>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</si>
  <si>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</si>
  <si>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</si>
  <si>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</si>
  <si>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</si>
  <si>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</si>
  <si>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</si>
  <si>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</si>
  <si>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</si>
  <si>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</si>
  <si>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</si>
  <si>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</si>
  <si>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</si>
  <si>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</si>
  <si>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</si>
  <si>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</si>
  <si>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</si>
  <si>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</si>
  <si>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</si>
  <si>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</si>
  <si>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</si>
  <si>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</si>
  <si>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</si>
  <si>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</si>
  <si>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</si>
  <si>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</si>
  <si>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</si>
  <si>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</si>
  <si>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</si>
  <si>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</si>
  <si>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</si>
  <si>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</si>
  <si>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</si>
  <si>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</si>
  <si>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</si>
  <si>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</si>
  <si>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</si>
  <si>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</si>
  <si>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</si>
  <si>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</si>
  <si>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</si>
  <si>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</si>
  <si>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</si>
  <si>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</si>
  <si>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</si>
  <si>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</si>
  <si>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</si>
  <si>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</si>
  <si>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</si>
  <si>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</si>
  <si>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</si>
  <si>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</si>
  <si>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</si>
  <si>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</si>
  <si>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</si>
  <si>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</si>
  <si>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</si>
  <si>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</si>
  <si>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</si>
  <si>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</si>
  <si>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</si>
  <si>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</si>
  <si>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</si>
  <si>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</si>
  <si>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</si>
  <si>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</si>
  <si>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</si>
  <si>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</si>
  <si>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</si>
  <si>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</si>
  <si>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</si>
  <si>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</si>
  <si>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</si>
  <si>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</si>
  <si>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</si>
  <si>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</si>
  <si>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</si>
  <si>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</si>
  <si>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</si>
  <si>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</si>
  <si>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</si>
  <si>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</si>
  <si>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</si>
  <si>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</si>
  <si>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</si>
  <si>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</si>
  <si>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</si>
  <si>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</si>
  <si>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</si>
  <si>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</si>
  <si>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</si>
  <si>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</si>
  <si>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</si>
  <si>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</si>
  <si>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</si>
  <si>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</si>
  <si>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</si>
  <si>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</si>
  <si>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</si>
  <si>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</si>
  <si>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</si>
  <si>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</si>
  <si>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</si>
  <si>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</si>
  <si>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</si>
  <si>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</si>
  <si>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</si>
  <si>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</si>
  <si>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</si>
  <si>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</si>
  <si>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</si>
  <si>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</si>
  <si>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</si>
  <si>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</si>
  <si>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</si>
  <si>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</si>
  <si>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</si>
  <si>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</si>
  <si>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</si>
  <si>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</si>
  <si>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</si>
  <si>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</si>
  <si>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</si>
  <si>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</si>
  <si>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</si>
  <si>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</si>
  <si>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</si>
  <si>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</si>
  <si>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</si>
  <si>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</si>
  <si>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</si>
  <si>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</si>
  <si>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</si>
  <si>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</si>
  <si>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</si>
  <si>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</si>
  <si>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</si>
  <si>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</si>
  <si>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</si>
  <si>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</si>
  <si>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</si>
  <si>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</si>
  <si>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</si>
  <si>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</si>
  <si>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</si>
  <si>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</si>
  <si>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</si>
  <si>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</si>
  <si>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</si>
  <si>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</si>
  <si>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</si>
  <si>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</si>
  <si>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</si>
  <si>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</si>
  <si>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</si>
  <si>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</si>
  <si>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</si>
  <si>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</si>
  <si>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</si>
  <si>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</si>
  <si>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</si>
  <si>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</si>
  <si>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</si>
  <si>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</si>
  <si>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</si>
  <si>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</si>
  <si>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</si>
  <si>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</si>
  <si>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</si>
  <si>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</si>
  <si>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</si>
  <si>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</si>
  <si>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</si>
  <si>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</si>
  <si>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</si>
  <si>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</si>
  <si>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</si>
  <si>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</si>
  <si>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</si>
  <si>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</si>
  <si>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</si>
  <si>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</si>
  <si>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</si>
  <si>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</si>
  <si>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</si>
  <si>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</si>
  <si>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</si>
  <si>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</si>
  <si>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</si>
  <si>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</si>
  <si>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</si>
  <si>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</si>
  <si>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</si>
  <si>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</si>
  <si>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</si>
  <si>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</si>
  <si>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</si>
  <si>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</si>
  <si>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</si>
  <si>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</si>
  <si>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</si>
  <si>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</si>
  <si>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</si>
  <si>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</si>
  <si>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</si>
  <si>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</si>
  <si>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</si>
  <si>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</si>
  <si>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</si>
  <si>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</si>
  <si>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</si>
  <si>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</si>
  <si>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</si>
  <si>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</si>
  <si>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</si>
  <si>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</si>
  <si>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</si>
  <si>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</si>
  <si>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</si>
  <si>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</si>
  <si>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</si>
  <si>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</si>
  <si>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</si>
  <si>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</si>
  <si>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</si>
  <si>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</si>
  <si>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</si>
  <si>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</si>
  <si>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</si>
  <si>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</si>
  <si>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</si>
  <si>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</si>
  <si>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</si>
  <si>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</si>
  <si>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</si>
  <si>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</si>
  <si>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</si>
  <si>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</si>
  <si>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</si>
  <si>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</si>
  <si>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</si>
  <si>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</si>
  <si>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</si>
  <si>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</si>
  <si>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</si>
  <si>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</si>
  <si>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</si>
  <si>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</si>
  <si>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</si>
  <si>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</si>
  <si>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</si>
  <si>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</si>
  <si>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</si>
  <si>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</si>
  <si>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</si>
  <si>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</si>
  <si>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</si>
  <si>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</si>
  <si>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</si>
  <si>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</si>
  <si>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</si>
  <si>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</si>
  <si>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</si>
  <si>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</si>
  <si>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</si>
  <si>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</si>
  <si>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</si>
  <si>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</si>
  <si>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</si>
  <si>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</si>
  <si>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</si>
  <si>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</si>
  <si>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</si>
  <si>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</si>
  <si>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</si>
  <si>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</si>
  <si>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</si>
  <si>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</si>
  <si>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</si>
  <si>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</si>
  <si>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</si>
  <si>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</si>
  <si>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</si>
  <si>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</si>
  <si>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</si>
  <si>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</si>
  <si>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</si>
  <si>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</si>
  <si>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</si>
  <si>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</si>
  <si>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</si>
  <si>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</si>
  <si>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</si>
  <si>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</si>
  <si>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</si>
  <si>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</si>
  <si>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</si>
  <si>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</si>
  <si>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</si>
  <si>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</si>
  <si>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</si>
  <si>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</si>
  <si>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</si>
  <si>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</si>
  <si>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</si>
  <si>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</si>
  <si>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</si>
  <si>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</si>
  <si>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</si>
  <si>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</si>
  <si>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</si>
  <si>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</si>
  <si>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</si>
  <si>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</si>
  <si>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</si>
  <si>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</si>
  <si>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</si>
  <si>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</si>
  <si>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</si>
  <si>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</si>
  <si>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</si>
  <si>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</si>
  <si>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</si>
  <si>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</si>
  <si>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</si>
  <si>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</si>
  <si>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</si>
  <si>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</si>
  <si>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</si>
  <si>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</si>
  <si>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</si>
  <si>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</si>
  <si>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</si>
  <si>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</si>
  <si>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</si>
  <si>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</si>
  <si>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</si>
  <si>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</si>
  <si>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</si>
  <si>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</si>
  <si>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</si>
  <si>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</si>
  <si>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</si>
  <si>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</si>
  <si>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</si>
  <si>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</si>
  <si>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</si>
  <si>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</si>
  <si>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</si>
  <si>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</si>
  <si>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</si>
  <si>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</si>
  <si>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</si>
  <si>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</si>
  <si>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</si>
  <si>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</si>
  <si>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</si>
  <si>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</si>
  <si>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</si>
  <si>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</si>
  <si>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</si>
  <si>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</si>
  <si>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</si>
  <si>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</si>
  <si>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</si>
  <si>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</si>
  <si>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</si>
  <si>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</si>
  <si>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</si>
  <si>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</si>
  <si>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</si>
  <si>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</si>
  <si>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</si>
  <si>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</si>
  <si>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</si>
  <si>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</si>
  <si>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</si>
  <si>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</si>
  <si>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</si>
  <si>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</si>
  <si>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</si>
  <si>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</si>
  <si>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</si>
  <si>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</si>
  <si>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</si>
  <si>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</si>
  <si>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</si>
  <si>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</si>
  <si>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</si>
  <si>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</si>
  <si>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</si>
  <si>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</si>
  <si>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</si>
  <si>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</si>
  <si>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</si>
  <si>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</si>
  <si>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</si>
  <si>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</si>
  <si>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</si>
  <si>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</si>
  <si>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</si>
  <si>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</si>
  <si>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</si>
  <si>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</si>
  <si>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</si>
  <si>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</si>
  <si>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</si>
  <si>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</si>
  <si>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</si>
  <si>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</si>
  <si>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</si>
  <si>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</si>
  <si>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</si>
  <si>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</si>
  <si>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</si>
  <si>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</si>
  <si>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</si>
  <si>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</si>
  <si>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</si>
  <si>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</si>
  <si>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</si>
  <si>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</si>
  <si>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</si>
  <si>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</si>
  <si>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</si>
  <si>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</si>
  <si>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</si>
  <si>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</si>
  <si>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</si>
  <si>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</si>
  <si>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</si>
  <si>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</si>
  <si>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</si>
  <si>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</si>
  <si>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</si>
  <si>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</si>
  <si>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</si>
  <si>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</si>
  <si>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</si>
  <si>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</si>
  <si>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</si>
  <si>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</si>
  <si>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</si>
  <si>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</si>
  <si>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</si>
  <si>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</si>
  <si>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</si>
  <si>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</si>
  <si>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</si>
  <si>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</si>
  <si>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</si>
  <si>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</si>
  <si>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</si>
  <si>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</si>
  <si>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</si>
  <si>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</si>
  <si>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</si>
  <si>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</si>
  <si>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</si>
  <si>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</si>
  <si>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</si>
  <si>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</si>
  <si>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</si>
  <si>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</si>
  <si>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</si>
  <si>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</si>
  <si>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</si>
  <si>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</si>
  <si>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</si>
  <si>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</si>
  <si>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</si>
  <si>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</si>
  <si>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</si>
  <si>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</si>
  <si>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</si>
  <si>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</si>
  <si>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</si>
  <si>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</si>
  <si>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</si>
  <si>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</si>
  <si>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</si>
  <si>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</si>
  <si>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</si>
  <si>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</si>
  <si>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</si>
  <si>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</si>
  <si>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</si>
  <si>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</si>
  <si>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</si>
  <si>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</si>
  <si>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</si>
  <si>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</si>
  <si>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</si>
  <si>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</si>
  <si>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</si>
  <si>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</si>
  <si>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</si>
  <si>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</si>
  <si>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</si>
  <si>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</si>
  <si>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</si>
  <si>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</si>
  <si>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</si>
  <si>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</si>
  <si>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</si>
  <si>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</si>
  <si>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</si>
  <si>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</si>
  <si>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</si>
  <si>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</si>
  <si>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</si>
  <si>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</si>
  <si>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</si>
  <si>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</si>
  <si>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</si>
  <si>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</si>
  <si>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</si>
  <si>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</si>
  <si>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</si>
  <si>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</si>
  <si>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</si>
  <si>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</si>
  <si>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</si>
  <si>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</si>
  <si>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</si>
  <si>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</si>
  <si>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</si>
  <si>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</si>
  <si>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</si>
  <si>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</si>
  <si>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</si>
  <si>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</si>
  <si>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</si>
  <si>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</si>
  <si>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</si>
  <si>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</si>
  <si>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</si>
  <si>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</si>
  <si>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</si>
  <si>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</si>
  <si>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</si>
  <si>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</si>
  <si>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</si>
  <si>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</si>
  <si>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</si>
  <si>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</si>
  <si>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</si>
  <si>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</si>
  <si>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</si>
  <si>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</si>
  <si>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</si>
  <si>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</si>
  <si>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</si>
  <si>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</si>
  <si>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</si>
  <si>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</si>
  <si>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</si>
  <si>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</si>
  <si>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</si>
  <si>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</si>
  <si>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</si>
  <si>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</si>
  <si>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</si>
  <si>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</si>
  <si>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</si>
  <si>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</si>
  <si>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</si>
  <si>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</si>
  <si>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</si>
  <si>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</si>
  <si>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</si>
  <si>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</si>
  <si>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</si>
  <si>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</si>
  <si>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</si>
  <si>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</si>
  <si>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</si>
  <si>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</si>
  <si>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</si>
  <si>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</si>
  <si>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</si>
  <si>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</si>
  <si>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</si>
  <si>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</si>
  <si>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</si>
  <si>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</si>
  <si>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</si>
  <si>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</si>
  <si>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</si>
  <si>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</si>
  <si>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</si>
  <si>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</si>
  <si>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</si>
  <si>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</si>
  <si>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</si>
  <si>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</si>
  <si>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</si>
  <si>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</si>
  <si>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</si>
  <si>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</si>
  <si>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</si>
  <si>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</si>
  <si>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</si>
  <si>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</si>
  <si>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</si>
  <si>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</si>
  <si>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</si>
  <si>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</si>
  <si>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</si>
  <si>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</si>
  <si>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</si>
  <si>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</si>
  <si>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</si>
  <si>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</si>
  <si>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</si>
  <si>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</si>
  <si>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</si>
  <si>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</si>
  <si>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</si>
  <si>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</si>
  <si>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</si>
  <si>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</si>
  <si>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</si>
  <si>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</si>
  <si>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</si>
  <si>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</si>
  <si>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</si>
  <si>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</si>
  <si>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</si>
  <si>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</si>
  <si>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</si>
  <si>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</si>
  <si>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</si>
  <si>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</si>
  <si>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</si>
  <si>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</si>
  <si>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</si>
  <si>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</si>
  <si>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</si>
  <si>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</si>
  <si>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</si>
  <si>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</si>
  <si>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</si>
  <si>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</si>
  <si>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</si>
  <si>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</si>
  <si>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</si>
  <si>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</si>
  <si>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</si>
  <si>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</si>
  <si>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</si>
  <si>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</si>
  <si>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</si>
  <si>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</si>
  <si>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</si>
  <si>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</si>
  <si>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</si>
  <si>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</si>
  <si>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</si>
  <si>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</si>
  <si>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</si>
  <si>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</si>
  <si>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</si>
  <si>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</si>
  <si>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</si>
  <si>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</si>
  <si>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</si>
  <si>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</si>
  <si>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</si>
  <si>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</si>
  <si>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</si>
  <si>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</si>
  <si>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</si>
  <si>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</si>
  <si>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</si>
  <si>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</si>
  <si>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</si>
  <si>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</si>
  <si>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</si>
  <si>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</si>
  <si>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</si>
  <si>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</si>
  <si>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</si>
  <si>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</si>
  <si>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</si>
  <si>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</si>
  <si>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</si>
  <si>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</si>
  <si>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</si>
  <si>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</si>
  <si>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</si>
  <si>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</si>
  <si>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</si>
  <si>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</si>
  <si>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</si>
  <si>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</si>
  <si>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</si>
  <si>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</si>
  <si>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</si>
  <si>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</si>
  <si>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</si>
  <si>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</si>
  <si>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</si>
  <si>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</si>
  <si>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</si>
  <si>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</si>
  <si>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</si>
  <si>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</si>
  <si>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</si>
  <si>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</si>
  <si>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</si>
  <si>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</si>
  <si>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</si>
  <si>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</si>
  <si>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</si>
  <si>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</si>
  <si>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</si>
  <si>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</si>
  <si>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</si>
  <si>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</si>
  <si>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</si>
  <si>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</si>
  <si>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</si>
  <si>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</si>
  <si>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</si>
  <si>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</si>
  <si>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</si>
  <si>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</si>
  <si>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</si>
  <si>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</si>
  <si>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</si>
  <si>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</si>
  <si>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</si>
  <si>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</si>
  <si>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</si>
  <si>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</si>
  <si>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</si>
  <si>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</si>
  <si>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</si>
  <si>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</si>
  <si>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</si>
  <si>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</si>
  <si>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</si>
  <si>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</si>
  <si>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</si>
  <si>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</si>
  <si>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</si>
  <si>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</si>
  <si>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</si>
  <si>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</si>
  <si>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</si>
  <si>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</si>
  <si>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</si>
  <si>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</si>
  <si>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</si>
  <si>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</si>
  <si>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</si>
  <si>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</si>
  <si>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</si>
  <si>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</si>
  <si>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</si>
  <si>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</si>
  <si>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</si>
  <si>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</si>
  <si>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</si>
  <si>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</si>
  <si>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</si>
  <si>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</si>
  <si>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</si>
  <si>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</si>
  <si>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</si>
  <si>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</si>
  <si>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</si>
  <si>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</si>
  <si>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</si>
  <si>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</si>
  <si>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</si>
  <si>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</si>
  <si>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</si>
  <si>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</si>
  <si>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</si>
  <si>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</si>
  <si>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</si>
  <si>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</si>
  <si>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</si>
  <si>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</si>
  <si>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</si>
  <si>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</si>
  <si>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</si>
  <si>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</si>
  <si>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</si>
  <si>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</si>
  <si>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</si>
  <si>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</si>
  <si>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</si>
  <si>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</si>
  <si>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</si>
  <si>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</si>
  <si>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</si>
  <si>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</si>
  <si>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</si>
  <si>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</si>
  <si>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</si>
  <si>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</si>
  <si>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</si>
  <si>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</si>
  <si>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</si>
  <si>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</si>
  <si>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</si>
  <si>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</si>
  <si>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</si>
  <si>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</si>
  <si>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</si>
  <si>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</si>
  <si>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</si>
  <si>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</si>
  <si>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</si>
  <si>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</si>
  <si>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</si>
  <si>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</si>
  <si>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</si>
  <si>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</si>
  <si>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</si>
  <si>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</si>
  <si>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</si>
  <si>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</si>
  <si>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</si>
  <si>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</si>
  <si>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</si>
  <si>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</si>
  <si>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</si>
  <si>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</si>
  <si>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</si>
  <si>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</si>
  <si>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</si>
  <si>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</si>
  <si>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</si>
  <si>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</si>
  <si>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</si>
  <si>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</si>
  <si>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</si>
  <si>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</si>
  <si>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</si>
  <si>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</si>
  <si>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</si>
  <si>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</si>
  <si>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</si>
  <si>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</si>
  <si>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</si>
  <si>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</si>
  <si>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</si>
  <si>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</si>
  <si>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</si>
  <si>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</si>
  <si>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</si>
  <si>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</si>
  <si>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</si>
  <si>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</si>
  <si>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</si>
  <si>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</si>
  <si>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</si>
  <si>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</si>
  <si>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</si>
  <si>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</si>
  <si>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</si>
  <si>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</si>
  <si>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</si>
  <si>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</si>
  <si>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</si>
  <si>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</si>
  <si>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</si>
  <si>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</si>
  <si>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</si>
  <si>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</si>
  <si>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</si>
  <si>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</si>
  <si>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</si>
  <si>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</si>
  <si>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</si>
  <si>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</si>
  <si>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</si>
  <si>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</si>
  <si>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</si>
  <si>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</si>
  <si>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</si>
  <si>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</si>
  <si>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</si>
  <si>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</si>
  <si>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</si>
  <si>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</si>
  <si>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</si>
  <si>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</si>
  <si>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</si>
  <si>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</si>
  <si>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</si>
  <si>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</si>
  <si>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</si>
  <si>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</si>
  <si>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</si>
  <si>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</si>
  <si>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</si>
  <si>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</si>
  <si>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</si>
  <si>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</si>
  <si>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</si>
  <si>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</si>
  <si>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</si>
  <si>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</si>
  <si>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</si>
  <si>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</si>
  <si>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</si>
  <si>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</si>
  <si>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</si>
  <si>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</si>
  <si>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</si>
  <si>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</si>
  <si>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</si>
  <si>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</si>
  <si>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</si>
  <si>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</si>
  <si>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</si>
  <si>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</si>
  <si>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</si>
  <si>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</si>
  <si>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</si>
  <si>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</si>
  <si>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</si>
  <si>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</si>
  <si>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</si>
  <si>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</si>
  <si>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</si>
  <si>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</si>
  <si>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</si>
  <si>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</si>
  <si>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</si>
  <si>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</si>
  <si>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</si>
  <si>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</si>
  <si>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</si>
  <si>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</si>
  <si>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</si>
  <si>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</si>
  <si>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</si>
  <si>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</si>
  <si>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</si>
  <si>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</si>
  <si>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</si>
  <si>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</si>
  <si>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</si>
  <si>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</si>
  <si>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</si>
  <si>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</si>
  <si>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</si>
  <si>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</si>
  <si>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</si>
  <si>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</si>
  <si>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</si>
  <si>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</si>
  <si>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</si>
  <si>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</si>
  <si>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</si>
  <si>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</si>
  <si>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</si>
  <si>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</si>
  <si>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</si>
  <si>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</si>
  <si>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</si>
  <si>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</si>
  <si>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</si>
  <si>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</si>
  <si>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</si>
  <si>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</si>
  <si>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</si>
  <si>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</si>
  <si>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</si>
  <si>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</si>
  <si>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</si>
  <si>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</si>
  <si>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</si>
  <si>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</si>
  <si>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</si>
  <si>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</si>
  <si>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</si>
  <si>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</si>
  <si>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</si>
  <si>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</si>
  <si>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</si>
  <si>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</si>
  <si>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</si>
  <si>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</si>
  <si>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</si>
  <si>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</si>
  <si>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</si>
  <si>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</si>
  <si>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</si>
  <si>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</si>
  <si>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</si>
  <si>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</si>
  <si>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</si>
  <si>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</si>
  <si>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</si>
  <si>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</si>
  <si>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</si>
  <si>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</si>
  <si>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</si>
  <si>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</si>
  <si>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</si>
  <si>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</si>
  <si>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</si>
  <si>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</si>
  <si>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</si>
  <si>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</si>
  <si>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</si>
  <si>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</si>
  <si>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</si>
  <si>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</si>
  <si>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</si>
  <si>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</si>
  <si>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</si>
  <si>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</si>
  <si>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</si>
  <si>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</si>
  <si>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</si>
  <si>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</si>
  <si>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</si>
  <si>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</si>
  <si>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</si>
  <si>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</si>
  <si>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</si>
  <si>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</si>
  <si>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</si>
  <si>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</si>
  <si>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</si>
  <si>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</si>
  <si>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</si>
  <si>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</si>
  <si>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</si>
  <si>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</si>
  <si>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</si>
  <si>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</si>
  <si>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</si>
  <si>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</si>
  <si>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</si>
  <si>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</si>
  <si>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</si>
  <si>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</si>
  <si>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</si>
  <si>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</si>
  <si>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</si>
  <si>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</si>
  <si>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</si>
  <si>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</si>
  <si>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</si>
  <si>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</si>
  <si>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</si>
  <si>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</si>
  <si>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</si>
  <si>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</si>
  <si>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</si>
  <si>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</si>
  <si>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</si>
  <si>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</si>
  <si>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</si>
  <si>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</si>
  <si>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</si>
  <si>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</si>
  <si>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</si>
  <si>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</si>
  <si>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</si>
  <si>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</si>
  <si>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</si>
  <si>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</si>
  <si>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</si>
  <si>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</si>
  <si>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</si>
  <si>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</si>
  <si>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</si>
  <si>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</si>
  <si>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</si>
  <si>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</si>
  <si>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</si>
  <si>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</si>
  <si>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</si>
  <si>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</si>
  <si>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</si>
  <si>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</si>
  <si>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</si>
  <si>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</si>
  <si>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</si>
  <si>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</si>
  <si>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</si>
  <si>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</si>
  <si>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</si>
  <si>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</si>
  <si>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</si>
  <si>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</si>
  <si>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</si>
  <si>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</si>
  <si>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</si>
  <si>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</si>
  <si>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</si>
  <si>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</si>
  <si>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</si>
  <si>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</si>
  <si>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</si>
  <si>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</si>
  <si>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</si>
  <si>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</si>
  <si>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</si>
  <si>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</si>
  <si>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</si>
  <si>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</si>
  <si>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</si>
  <si>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</si>
  <si>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</si>
  <si>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</si>
  <si>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</si>
  <si>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</si>
  <si>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</si>
  <si>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</si>
  <si>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</si>
  <si>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</si>
  <si>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</si>
  <si>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</si>
  <si>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</si>
  <si>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</si>
  <si>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</si>
  <si>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</si>
  <si>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</si>
  <si>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</si>
  <si>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</si>
  <si>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</si>
  <si>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</si>
  <si>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</si>
  <si>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</si>
  <si>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</si>
  <si>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</si>
  <si>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</si>
  <si>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</si>
  <si>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</si>
  <si>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</si>
  <si>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</si>
  <si>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</si>
  <si>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</si>
  <si>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</si>
  <si>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</si>
  <si>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</si>
  <si>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</si>
  <si>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</si>
  <si>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</si>
  <si>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</si>
  <si>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</si>
  <si>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</si>
  <si>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</si>
  <si>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</si>
  <si>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</si>
  <si>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</si>
  <si>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</si>
  <si>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</si>
  <si>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</si>
  <si>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</si>
  <si>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</si>
  <si>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</si>
  <si>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</si>
  <si>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</si>
  <si>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</si>
  <si>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</si>
  <si>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</si>
  <si>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</si>
  <si>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</si>
  <si>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</si>
  <si>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</si>
  <si>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</si>
  <si>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</si>
  <si>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</si>
  <si>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</si>
  <si>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</si>
  <si>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</si>
  <si>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</si>
  <si>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</si>
  <si>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</si>
  <si>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</si>
  <si>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</si>
  <si>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</si>
  <si>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</si>
  <si>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</si>
  <si>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</si>
  <si>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</si>
  <si>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</si>
  <si>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</si>
  <si>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</si>
  <si>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</si>
  <si>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</si>
  <si>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</si>
  <si>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</si>
  <si>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</si>
  <si>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</si>
  <si>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</si>
  <si>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</si>
  <si>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</si>
  <si>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</si>
  <si>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</si>
  <si>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</si>
  <si>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</si>
  <si>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</si>
  <si>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</si>
  <si>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</si>
  <si>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</si>
  <si>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</si>
  <si>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</si>
  <si>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</si>
  <si>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</si>
  <si>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</si>
  <si>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</si>
  <si>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</si>
  <si>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</si>
  <si>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</si>
  <si>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</si>
  <si>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</si>
  <si>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</si>
  <si>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</si>
  <si>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</si>
  <si>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</si>
  <si>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</si>
  <si>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</si>
  <si>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</si>
  <si>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</si>
  <si>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</si>
  <si>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</si>
  <si>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</si>
  <si>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</si>
  <si>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</si>
  <si>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</si>
  <si>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</si>
  <si>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</si>
  <si>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</si>
  <si>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</si>
  <si>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</si>
  <si>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</si>
  <si>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</si>
  <si>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</si>
  <si>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</si>
  <si>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</si>
  <si>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</si>
  <si>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</si>
  <si>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</si>
  <si>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</si>
  <si>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</si>
  <si>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</si>
  <si>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</si>
  <si>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</si>
  <si>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</si>
  <si>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</si>
  <si>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</si>
  <si>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</si>
  <si>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</si>
  <si>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</si>
  <si>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</si>
  <si>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</si>
  <si>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</si>
  <si>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</si>
  <si>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</si>
  <si>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</si>
  <si>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</si>
  <si>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</si>
  <si>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</si>
  <si>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</si>
  <si>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</si>
  <si>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</si>
  <si>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</si>
  <si>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</si>
  <si>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</si>
  <si>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</si>
  <si>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</si>
  <si>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</si>
  <si>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</si>
  <si>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</si>
  <si>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</si>
  <si>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</si>
  <si>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</si>
  <si>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</si>
  <si>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</si>
  <si>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</si>
  <si>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</si>
  <si>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</si>
  <si>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</si>
  <si>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</si>
  <si>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</si>
  <si>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</si>
  <si>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</si>
  <si>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</si>
  <si>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</si>
  <si>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</si>
  <si>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</si>
  <si>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</si>
  <si>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</si>
  <si>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</si>
  <si>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</si>
  <si>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</si>
  <si>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</si>
  <si>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</si>
  <si>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</si>
  <si>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</si>
  <si>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</si>
  <si>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</si>
  <si>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</si>
  <si>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</si>
  <si>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</si>
  <si>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</si>
  <si>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</si>
  <si>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</si>
  <si>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</si>
  <si>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</si>
  <si>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</si>
  <si>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</si>
  <si>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</si>
  <si>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</si>
  <si>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</si>
  <si>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</si>
  <si>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</si>
  <si>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</si>
  <si>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</si>
  <si>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</si>
  <si>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</si>
  <si>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</si>
  <si>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</si>
  <si>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</si>
  <si>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</si>
  <si>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</si>
  <si>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</si>
  <si>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</si>
  <si>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</si>
  <si>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</si>
  <si>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</si>
  <si>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</si>
  <si>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</si>
  <si>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</si>
  <si>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</si>
  <si>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</si>
  <si>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</si>
  <si>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</si>
  <si>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</si>
  <si>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</si>
  <si>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</si>
  <si>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</si>
  <si>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</si>
  <si>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</si>
  <si>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</si>
  <si>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</si>
  <si>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</si>
  <si>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</si>
  <si>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</si>
  <si>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</si>
  <si>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</si>
  <si>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</si>
  <si>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</si>
  <si>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</si>
  <si>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</si>
  <si>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</si>
  <si>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</si>
  <si>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</si>
  <si>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</si>
  <si>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</si>
  <si>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</si>
  <si>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</si>
  <si>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</si>
  <si>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</si>
  <si>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</si>
  <si>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</si>
  <si>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</si>
  <si>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</si>
  <si>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</si>
  <si>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</si>
  <si>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</si>
  <si>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</si>
  <si>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</si>
  <si>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</si>
  <si>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</si>
  <si>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</si>
  <si>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</si>
  <si>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</si>
  <si>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</si>
  <si>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</si>
  <si>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</si>
  <si>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</si>
  <si>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</si>
  <si>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</si>
  <si>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</si>
  <si>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</si>
  <si>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</si>
  <si>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</si>
  <si>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</si>
  <si>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</si>
  <si>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</si>
  <si>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</si>
  <si>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</si>
  <si>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</si>
  <si>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</si>
  <si>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</si>
  <si>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</si>
  <si>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</si>
  <si>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</si>
  <si>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</si>
  <si>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</si>
  <si>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</si>
  <si>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</si>
  <si>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</si>
  <si>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</si>
  <si>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</si>
  <si>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</si>
  <si>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</si>
  <si>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</si>
  <si>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</si>
  <si>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</si>
  <si>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</si>
  <si>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</si>
  <si>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</si>
  <si>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</si>
  <si>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</si>
  <si>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</si>
  <si>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</si>
  <si>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</si>
  <si>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</si>
  <si>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</si>
  <si>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</si>
  <si>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</si>
  <si>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</si>
  <si>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</si>
  <si>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</si>
  <si>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</si>
  <si>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</si>
  <si>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</si>
  <si>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</si>
  <si>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</si>
  <si>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</si>
  <si>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</si>
  <si>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</si>
  <si>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</si>
  <si>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</si>
  <si>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</si>
  <si>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</si>
  <si>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</si>
  <si>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</si>
  <si>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</si>
  <si>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</si>
  <si>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</si>
  <si>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</si>
  <si>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</si>
  <si>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</si>
  <si>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</si>
  <si>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</si>
  <si>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</si>
  <si>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</si>
  <si>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</si>
  <si>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</si>
  <si>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</si>
  <si>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</si>
  <si>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</si>
  <si>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</si>
  <si>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</si>
  <si>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</si>
  <si>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</si>
  <si>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</si>
  <si>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</si>
  <si>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</si>
  <si>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</si>
  <si>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</si>
  <si>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</si>
  <si>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</si>
  <si>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</si>
  <si>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</si>
  <si>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</si>
  <si>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</si>
  <si>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</si>
  <si>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</si>
  <si>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</si>
  <si>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</si>
  <si>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</si>
  <si>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</si>
  <si>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</si>
  <si>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</si>
  <si>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</si>
  <si>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</si>
  <si>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</si>
  <si>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</si>
  <si>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</si>
  <si>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</si>
  <si>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</si>
  <si>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</si>
  <si>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</si>
  <si>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</si>
  <si>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</si>
  <si>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</si>
  <si>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</si>
  <si>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</si>
  <si>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</si>
  <si>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</si>
  <si>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</si>
  <si>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</si>
  <si>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</si>
  <si>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</si>
  <si>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</si>
  <si>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</si>
  <si>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</si>
  <si>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</si>
  <si>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</si>
  <si>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</si>
  <si>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</si>
  <si>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</si>
  <si>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</si>
  <si>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</si>
  <si>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</si>
  <si>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</si>
  <si>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</si>
  <si>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</si>
  <si>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</si>
  <si>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</si>
  <si>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</si>
  <si>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</si>
  <si>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</si>
  <si>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</si>
  <si>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</si>
  <si>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</si>
  <si>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</si>
  <si>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</si>
  <si>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</si>
  <si>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</si>
  <si>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</si>
  <si>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</si>
  <si>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</si>
  <si>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</si>
  <si>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</si>
  <si>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</si>
  <si>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</si>
  <si>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</si>
  <si>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</si>
  <si>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</si>
  <si>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</si>
  <si>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</si>
  <si>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</si>
  <si>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</si>
  <si>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</si>
  <si>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</si>
  <si>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</si>
  <si>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</si>
  <si>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</si>
  <si>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</si>
  <si>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</si>
  <si>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</si>
  <si>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</si>
  <si>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</si>
  <si>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</si>
  <si>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</si>
  <si>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</si>
  <si>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</si>
  <si>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</si>
  <si>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</si>
  <si>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</si>
  <si>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</si>
  <si>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</si>
  <si>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</si>
  <si>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</si>
  <si>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</si>
  <si>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</si>
  <si>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</si>
  <si>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</si>
  <si>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</si>
  <si>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</si>
  <si>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</si>
  <si>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</si>
  <si>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</si>
  <si>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</si>
  <si>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</si>
  <si>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</si>
  <si>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</si>
  <si>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</si>
  <si>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</si>
  <si>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</si>
  <si>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</si>
  <si>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</si>
  <si>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</si>
  <si>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</si>
  <si>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</si>
  <si>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</si>
  <si>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</si>
  <si>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</si>
  <si>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</si>
  <si>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</si>
  <si>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</si>
  <si>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</si>
  <si>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</si>
  <si>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</si>
  <si>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</si>
  <si>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</si>
  <si>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</si>
  <si>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</si>
  <si>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</si>
  <si>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</si>
  <si>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</si>
  <si>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</si>
  <si>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</si>
  <si>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</si>
  <si>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</si>
  <si>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</si>
  <si>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</si>
  <si>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</si>
  <si>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</si>
  <si>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</si>
  <si>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</si>
  <si>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</si>
  <si>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</si>
  <si>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</si>
  <si>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</si>
  <si>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</si>
  <si>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</si>
  <si>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</si>
  <si>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</si>
  <si>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</si>
  <si>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</si>
  <si>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</si>
  <si>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</si>
  <si>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</si>
  <si>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</si>
  <si>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</si>
  <si>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</si>
  <si>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</si>
  <si>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</si>
  <si>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</si>
  <si>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</si>
  <si>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</si>
  <si>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</si>
  <si>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</si>
  <si>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</si>
  <si>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</si>
  <si>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</si>
  <si>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</si>
  <si>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</si>
  <si>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</si>
  <si>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</si>
  <si>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</si>
  <si>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</si>
  <si>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</si>
  <si>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</si>
  <si>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</si>
  <si>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</si>
  <si>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</si>
  <si>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</si>
  <si>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</si>
  <si>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</si>
  <si>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</si>
  <si>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</si>
  <si>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</si>
  <si>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</si>
  <si>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</si>
  <si>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</si>
  <si>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</si>
  <si>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</si>
  <si>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</si>
  <si>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</si>
  <si>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</si>
  <si>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</si>
  <si>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</si>
  <si>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</si>
  <si>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</si>
  <si>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</si>
  <si>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</si>
  <si>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</si>
  <si>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</si>
  <si>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</si>
  <si>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</si>
  <si>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</si>
  <si>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</si>
  <si>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</si>
  <si>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</si>
  <si>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</si>
  <si>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</si>
  <si>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</si>
  <si>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</si>
  <si>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</si>
  <si>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</si>
  <si>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</si>
  <si>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</si>
  <si>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</si>
  <si>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</si>
  <si>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</si>
  <si>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</si>
  <si>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</si>
  <si>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</si>
  <si>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</si>
  <si>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</si>
  <si>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</si>
  <si>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</si>
  <si>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</si>
  <si>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</si>
  <si>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</si>
  <si>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</si>
  <si>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</si>
  <si>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</si>
  <si>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</si>
  <si>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</si>
  <si>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</si>
  <si>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</si>
  <si>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</si>
  <si>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</si>
  <si>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</si>
  <si>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</si>
  <si>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</si>
  <si>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</si>
  <si>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</si>
  <si>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</si>
  <si>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</si>
  <si>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</si>
  <si>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</si>
  <si>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</si>
  <si>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</si>
  <si>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</si>
  <si>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</si>
  <si>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</si>
  <si>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</si>
  <si>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</si>
  <si>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</si>
  <si>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</si>
  <si>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</si>
  <si>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</si>
  <si>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</si>
  <si>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</si>
  <si>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</si>
  <si>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</si>
  <si>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</si>
  <si>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</si>
  <si>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</si>
  <si>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</si>
  <si>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</si>
  <si>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</si>
  <si>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</si>
  <si>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</si>
  <si>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</si>
  <si>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</si>
  <si>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</si>
  <si>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</si>
  <si>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</si>
  <si>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</si>
  <si>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</si>
  <si>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</si>
  <si>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</si>
  <si>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</si>
  <si>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</si>
  <si>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</si>
  <si>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</si>
  <si>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</si>
  <si>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</si>
  <si>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</si>
  <si>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</si>
  <si>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</si>
  <si>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</si>
  <si>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</si>
  <si>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</si>
  <si>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</si>
  <si>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</si>
  <si>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</si>
  <si>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</si>
  <si>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</si>
  <si>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</si>
  <si>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</si>
  <si>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</si>
  <si>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</si>
  <si>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</si>
  <si>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</si>
  <si>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</si>
  <si>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</si>
  <si>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</si>
  <si>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</si>
  <si>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</si>
  <si>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</si>
  <si>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</si>
  <si>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</si>
  <si>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</si>
  <si>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</si>
  <si>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</si>
  <si>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</si>
  <si>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</si>
  <si>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</si>
  <si>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</si>
  <si>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</si>
  <si>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</si>
  <si>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</si>
  <si>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</si>
  <si>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</si>
  <si>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</si>
  <si>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</si>
  <si>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</si>
  <si>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</si>
  <si>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</si>
  <si>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</si>
  <si>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</si>
  <si>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</si>
  <si>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</si>
  <si>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</si>
  <si>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</si>
  <si>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</si>
  <si>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</si>
  <si>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</si>
  <si>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</si>
  <si>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</si>
  <si>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</si>
  <si>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</si>
  <si>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</si>
  <si>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</si>
  <si>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</si>
  <si>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</si>
  <si>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</si>
  <si>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</si>
  <si>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</si>
  <si>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</si>
  <si>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</si>
  <si>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</si>
  <si>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</si>
  <si>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</si>
  <si>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</si>
  <si>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</si>
  <si>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</si>
  <si>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</si>
  <si>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</si>
  <si>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</si>
  <si>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</si>
  <si>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</si>
  <si>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</si>
  <si>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</si>
  <si>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</si>
  <si>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</si>
  <si>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</si>
  <si>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</si>
  <si>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</si>
  <si>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</si>
  <si>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</si>
  <si>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</si>
  <si>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</si>
  <si>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</si>
  <si>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</si>
  <si>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</si>
  <si>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</si>
  <si>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</si>
  <si>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</si>
  <si>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</si>
  <si>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</si>
  <si>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</si>
  <si>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</si>
  <si>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</si>
  <si>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</si>
  <si>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</si>
  <si>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</si>
  <si>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</si>
  <si>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</si>
  <si>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</si>
  <si>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</si>
  <si>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</si>
  <si>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</si>
  <si>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</si>
  <si>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</si>
  <si>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</si>
  <si>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</si>
  <si>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</si>
  <si>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</si>
  <si>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</si>
  <si>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</si>
  <si>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</si>
  <si>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</si>
  <si>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</si>
  <si>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</si>
  <si>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</si>
  <si>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</si>
  <si>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</si>
  <si>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</si>
  <si>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</si>
  <si>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</si>
  <si>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</si>
  <si>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</si>
  <si>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</si>
  <si>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</si>
  <si>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</si>
  <si>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</si>
  <si>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</si>
  <si>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</si>
  <si>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</si>
  <si>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</si>
  <si>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</si>
  <si>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</si>
  <si>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</si>
  <si>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</si>
  <si>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</si>
  <si>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</si>
  <si>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</si>
  <si>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</si>
  <si>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</si>
  <si>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</si>
  <si>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</si>
  <si>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</si>
  <si>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</si>
  <si>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</si>
  <si>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</si>
  <si>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</si>
  <si>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</si>
  <si>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</si>
  <si>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</si>
  <si>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</si>
  <si>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</si>
  <si>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</si>
  <si>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</si>
  <si>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</si>
  <si>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</si>
  <si>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</si>
  <si>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</si>
  <si>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</si>
  <si>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</si>
  <si>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</si>
  <si>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</si>
  <si>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</si>
  <si>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</si>
  <si>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</si>
  <si>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</si>
  <si>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</si>
  <si>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</si>
  <si>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</si>
  <si>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</si>
  <si>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</si>
  <si>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</si>
  <si>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</si>
  <si>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</si>
  <si>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</si>
  <si>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</si>
  <si>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</si>
  <si>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</si>
  <si>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</si>
  <si>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</si>
  <si>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</si>
  <si>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</si>
  <si>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</si>
  <si>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</si>
  <si>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</si>
  <si>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</si>
  <si>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</si>
  <si>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</si>
  <si>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</si>
  <si>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</si>
  <si>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</si>
  <si>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</si>
  <si>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</si>
  <si>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</si>
  <si>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</si>
  <si>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</si>
  <si>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</si>
  <si>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</si>
  <si>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</si>
  <si>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</si>
  <si>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</si>
  <si>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</si>
  <si>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</si>
  <si>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</si>
  <si>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</si>
  <si>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</si>
  <si>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</si>
  <si>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</si>
  <si>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</si>
  <si>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</si>
  <si>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</si>
  <si>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</si>
  <si>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</si>
  <si>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</si>
  <si>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</si>
  <si>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</si>
  <si>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</si>
  <si>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</si>
  <si>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</si>
  <si>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</si>
  <si>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</si>
  <si>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</si>
  <si>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</si>
  <si>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</si>
  <si>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</si>
  <si>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</si>
  <si>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</si>
  <si>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</si>
  <si>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</si>
  <si>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</si>
  <si>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</si>
  <si>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</si>
  <si>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</si>
  <si>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</si>
  <si>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</si>
  <si>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</si>
  <si>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</si>
  <si>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</si>
  <si>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</si>
  <si>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</si>
  <si>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</si>
  <si>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</si>
  <si>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</si>
  <si>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</si>
  <si>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</si>
  <si>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</si>
  <si>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</si>
  <si>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</si>
  <si>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</si>
  <si>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</si>
  <si>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</si>
  <si>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</si>
  <si>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</si>
  <si>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</si>
  <si>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</si>
  <si>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</si>
  <si>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</si>
  <si>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</si>
  <si>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</si>
  <si>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</si>
  <si>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</si>
  <si>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</si>
  <si>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</si>
  <si>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</si>
  <si>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</si>
  <si>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</si>
  <si>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</si>
  <si>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</si>
  <si>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</si>
  <si>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</si>
  <si>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</si>
  <si>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</si>
  <si>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</si>
  <si>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</si>
  <si>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</si>
  <si>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</si>
  <si>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</si>
  <si>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</si>
  <si>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</si>
  <si>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</si>
  <si>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</si>
  <si>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</si>
  <si>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</si>
  <si>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</si>
  <si>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</si>
  <si>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</si>
  <si>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</si>
  <si>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</si>
  <si>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</si>
  <si>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</si>
  <si>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</si>
  <si>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</si>
  <si>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</si>
  <si>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</si>
  <si>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</si>
  <si>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</si>
  <si>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</si>
  <si>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</si>
  <si>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</si>
  <si>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</si>
  <si>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</si>
  <si>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</si>
  <si>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</si>
  <si>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</si>
  <si>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</si>
  <si>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</si>
  <si>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</si>
  <si>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</si>
  <si>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</si>
  <si>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</si>
  <si>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</si>
  <si>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</si>
  <si>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</si>
  <si>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</si>
  <si>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</si>
  <si>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</si>
  <si>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</si>
  <si>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</si>
  <si>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</si>
  <si>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</si>
  <si>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</si>
  <si>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</si>
  <si>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</si>
  <si>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</si>
  <si>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</si>
  <si>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</si>
  <si>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</si>
  <si>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</si>
  <si>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</si>
  <si>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</si>
  <si>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</si>
  <si>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</si>
  <si>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</si>
  <si>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</si>
  <si>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</si>
  <si>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</si>
  <si>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</si>
  <si>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</si>
  <si>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</si>
  <si>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</si>
  <si>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</si>
  <si>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</si>
  <si>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</si>
  <si>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</si>
  <si>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</si>
  <si>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</si>
  <si>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</si>
  <si>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</si>
  <si>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</si>
  <si>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</si>
  <si>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</si>
  <si>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</si>
  <si>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</si>
  <si>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</si>
  <si>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</si>
  <si>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</si>
  <si>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</si>
  <si>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</si>
  <si>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</si>
  <si>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</si>
  <si>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</si>
  <si>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</si>
  <si>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</si>
  <si>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</si>
  <si>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</si>
  <si>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</si>
  <si>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</si>
  <si>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</si>
  <si>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</si>
  <si>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</si>
  <si>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</si>
  <si>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</si>
  <si>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</si>
  <si>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</si>
  <si>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</si>
  <si>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</si>
  <si>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</si>
  <si>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</si>
  <si>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</si>
  <si>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</si>
  <si>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</si>
  <si>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</si>
  <si>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</si>
  <si>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</si>
  <si>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</si>
  <si>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</si>
  <si>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</si>
  <si>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</si>
  <si>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</si>
  <si>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</si>
  <si>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</si>
  <si>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</si>
  <si>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</si>
  <si>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</si>
  <si>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</si>
  <si>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</si>
  <si>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</si>
  <si>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</si>
  <si>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</si>
  <si>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</si>
  <si>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</si>
  <si>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</si>
  <si>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</si>
  <si>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</si>
  <si>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</si>
  <si>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</si>
  <si>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</si>
  <si>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</si>
  <si>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</si>
  <si>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</si>
  <si>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</si>
  <si>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</si>
  <si>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</si>
  <si>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</si>
  <si>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</si>
  <si>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</si>
  <si>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</si>
  <si>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</si>
  <si>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</si>
  <si>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</si>
  <si>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</si>
  <si>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</si>
  <si>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</si>
  <si>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</si>
  <si>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</si>
  <si>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</si>
  <si>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</si>
  <si>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</si>
  <si>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</si>
  <si>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</si>
  <si>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</si>
  <si>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</si>
  <si>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</si>
  <si>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</si>
  <si>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</si>
  <si>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</si>
  <si>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</si>
  <si>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</si>
  <si>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</si>
  <si>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</si>
  <si>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</si>
  <si>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</si>
  <si>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</si>
  <si>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</si>
  <si>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</si>
  <si>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</si>
  <si>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</si>
  <si>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</si>
  <si>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</si>
  <si>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</si>
  <si>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</si>
  <si>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</si>
  <si>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</si>
  <si>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</si>
  <si>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</si>
  <si>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</si>
  <si>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</si>
  <si>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</si>
  <si>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</si>
  <si>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</si>
  <si>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</si>
  <si>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</si>
  <si>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</si>
  <si>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</si>
  <si>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</si>
  <si>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</si>
  <si>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</si>
  <si>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</si>
  <si>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</si>
  <si>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</si>
  <si>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</si>
  <si>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</si>
  <si>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</si>
  <si>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</si>
  <si>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</si>
  <si>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</si>
  <si>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</si>
  <si>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</si>
  <si>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</si>
  <si>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</si>
  <si>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</si>
  <si>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</si>
  <si>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</si>
  <si>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</si>
  <si>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</si>
  <si>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</si>
  <si>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</si>
  <si>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</si>
  <si>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</si>
  <si>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</si>
  <si>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</si>
  <si>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</si>
  <si>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</si>
  <si>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</si>
  <si>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</si>
  <si>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</si>
  <si>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</si>
  <si>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</si>
  <si>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</si>
  <si>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</si>
  <si>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</si>
  <si>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</si>
  <si>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</si>
  <si>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</si>
  <si>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</si>
  <si>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</si>
  <si>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</si>
  <si>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</si>
  <si>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</si>
  <si>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</si>
  <si>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</si>
  <si>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</si>
  <si>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</si>
  <si>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</si>
  <si>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</si>
  <si>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</si>
  <si>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</si>
  <si>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</si>
  <si>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</si>
  <si>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</si>
  <si>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</si>
  <si>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</si>
  <si>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</si>
  <si>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</si>
  <si>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</si>
  <si>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</si>
  <si>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</si>
  <si>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</si>
  <si>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</si>
  <si>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</si>
  <si>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</si>
  <si>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</si>
  <si>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</si>
  <si>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</si>
  <si>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</si>
  <si>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</si>
  <si>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</si>
  <si>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</si>
  <si>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</si>
  <si>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</si>
  <si>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</si>
  <si>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</si>
  <si>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</si>
  <si>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</si>
  <si>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</si>
  <si>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</si>
  <si>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</si>
  <si>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</si>
  <si>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</si>
  <si>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</si>
  <si>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</si>
  <si>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</si>
  <si>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</si>
  <si>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</si>
  <si>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</si>
  <si>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</si>
  <si>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</si>
  <si>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</si>
  <si>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</si>
  <si>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</si>
  <si>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</si>
  <si>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</si>
  <si>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</si>
  <si>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</si>
  <si>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</si>
  <si>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</si>
  <si>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</si>
  <si>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</si>
  <si>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</si>
  <si>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</si>
  <si>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</si>
  <si>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</si>
  <si>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</si>
  <si>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</si>
  <si>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</si>
  <si>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</si>
  <si>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</si>
  <si>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</si>
  <si>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</si>
  <si>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</si>
  <si>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</si>
  <si>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</si>
  <si>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</si>
  <si>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</si>
  <si>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</si>
  <si>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</si>
  <si>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</si>
  <si>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</si>
  <si>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</si>
  <si>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</si>
  <si>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</si>
  <si>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</si>
  <si>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</si>
  <si>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</si>
  <si>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</si>
  <si>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</si>
  <si>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</si>
  <si>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</si>
  <si>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</si>
  <si>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</si>
  <si>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</si>
  <si>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</si>
  <si>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</si>
  <si>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</si>
  <si>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</si>
  <si>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</si>
  <si>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</si>
  <si>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</si>
  <si>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</si>
  <si>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</si>
  <si>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</si>
  <si>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</si>
  <si>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</si>
  <si>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</si>
  <si>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</si>
  <si>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</si>
  <si>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</si>
  <si>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</si>
  <si>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</si>
  <si>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</si>
  <si>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</si>
  <si>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</si>
  <si>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</si>
  <si>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</si>
  <si>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</si>
  <si>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</si>
  <si>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</si>
  <si>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</si>
  <si>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</si>
  <si>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</si>
  <si>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</si>
  <si>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</si>
  <si>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</si>
  <si>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</si>
  <si>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</si>
  <si>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</si>
  <si>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</si>
  <si>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</si>
  <si>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</si>
  <si>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</si>
  <si>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</si>
  <si>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</si>
  <si>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</si>
  <si>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</si>
  <si>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</si>
  <si>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</si>
  <si>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</si>
  <si>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</si>
  <si>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</si>
  <si>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</si>
  <si>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</si>
  <si>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</si>
  <si>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</si>
  <si>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</si>
  <si>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</si>
  <si>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</si>
  <si>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</si>
  <si>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</si>
  <si>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</si>
  <si>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</si>
  <si>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</si>
  <si>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</si>
  <si>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</si>
  <si>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</si>
  <si>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</si>
  <si>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</si>
  <si>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</si>
  <si>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</si>
  <si>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</si>
  <si>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</si>
  <si>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</si>
  <si>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</si>
  <si>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</si>
  <si>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</si>
  <si>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</si>
  <si>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</si>
  <si>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</si>
  <si>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</si>
  <si>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</si>
  <si>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</si>
  <si>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</si>
  <si>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</si>
  <si>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</si>
  <si>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</si>
  <si>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</si>
  <si>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</si>
  <si>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</si>
  <si>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</si>
  <si>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</si>
  <si>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</si>
  <si>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</si>
  <si>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</si>
  <si>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</si>
  <si>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</si>
  <si>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</si>
  <si>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</si>
  <si>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</si>
  <si>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</si>
  <si>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</si>
  <si>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</si>
  <si>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</si>
  <si>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</si>
  <si>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</si>
  <si>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</si>
  <si>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</si>
  <si>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</si>
  <si>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</si>
  <si>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</si>
  <si>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</si>
  <si>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</si>
  <si>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</si>
  <si>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</si>
  <si>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</si>
  <si>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</si>
  <si>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</si>
  <si>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</si>
  <si>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</si>
  <si>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</si>
  <si>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</si>
  <si>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</si>
  <si>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</si>
  <si>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</si>
  <si>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</si>
  <si>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</si>
  <si>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</si>
  <si>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</si>
  <si>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</si>
  <si>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</si>
  <si>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</si>
  <si>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</si>
  <si>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</si>
  <si>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</si>
  <si>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</si>
  <si>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</si>
  <si>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</si>
  <si>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</si>
  <si>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</si>
  <si>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</si>
  <si>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</si>
  <si>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</si>
  <si>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</si>
  <si>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</si>
  <si>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</si>
  <si>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</si>
  <si>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</si>
  <si>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</si>
  <si>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</si>
  <si>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</si>
  <si>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</si>
  <si>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</si>
  <si>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</si>
  <si>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</si>
  <si>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</si>
  <si>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</si>
  <si>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</si>
  <si>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</si>
  <si>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</si>
  <si>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</si>
  <si>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</si>
  <si>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</si>
  <si>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</si>
  <si>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</si>
  <si>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</si>
  <si>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</si>
  <si>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</si>
  <si>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</si>
  <si>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</si>
  <si>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</si>
  <si>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</si>
  <si>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</si>
  <si>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</si>
  <si>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</si>
  <si>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</si>
  <si>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</si>
  <si>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</si>
  <si>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</si>
  <si>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</si>
  <si>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</si>
  <si>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</si>
  <si>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</si>
  <si>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</si>
  <si>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</si>
  <si>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</si>
  <si>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</si>
  <si>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</si>
  <si>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</si>
  <si>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</si>
  <si>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</si>
  <si>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</si>
  <si>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</si>
  <si>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</si>
  <si>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</si>
  <si>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</si>
  <si>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</si>
  <si>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</si>
  <si>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</si>
  <si>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</si>
  <si>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</si>
  <si>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</si>
  <si>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</si>
  <si>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</si>
  <si>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</si>
  <si>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</si>
  <si>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</si>
  <si>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</si>
  <si>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</si>
  <si>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</si>
  <si>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</si>
  <si>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</si>
  <si>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</si>
  <si>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</si>
  <si>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</si>
  <si>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</si>
  <si>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</si>
  <si>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</si>
  <si>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</si>
  <si>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</si>
  <si>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</si>
  <si>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</si>
  <si>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</si>
  <si>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</si>
  <si>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</si>
  <si>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</si>
  <si>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</si>
  <si>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</si>
  <si>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</si>
  <si>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</si>
  <si>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</si>
  <si>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</si>
  <si>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</si>
  <si>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</si>
  <si>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</si>
  <si>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</si>
  <si>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</si>
  <si>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</si>
  <si>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</si>
  <si>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</si>
  <si>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</si>
  <si>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</si>
  <si>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</si>
  <si>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</si>
  <si>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</si>
  <si>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</si>
  <si>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</si>
  <si>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</si>
  <si>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</si>
  <si>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</si>
  <si>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</si>
  <si>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</si>
  <si>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</si>
  <si>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</si>
  <si>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</si>
  <si>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</si>
  <si>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</si>
  <si>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</si>
  <si>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</si>
  <si>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</si>
  <si>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</si>
  <si>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</si>
  <si>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</si>
  <si>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</si>
  <si>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</si>
  <si>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</si>
  <si>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</si>
  <si>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</si>
  <si>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</si>
  <si>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</si>
  <si>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</si>
  <si>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</si>
  <si>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</si>
  <si>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</si>
  <si>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</si>
  <si>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</si>
  <si>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</si>
  <si>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</si>
  <si>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</si>
  <si>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</si>
  <si>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</si>
  <si>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</si>
  <si>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</si>
  <si>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</si>
  <si>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</si>
  <si>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</si>
  <si>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</si>
  <si>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</si>
  <si>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</si>
  <si>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</si>
  <si>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</si>
  <si>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</si>
  <si>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</si>
  <si>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</si>
  <si>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</si>
  <si>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</si>
  <si>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</si>
  <si>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</si>
  <si>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</si>
  <si>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</si>
  <si>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</si>
  <si>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</si>
  <si>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</si>
  <si>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</si>
  <si>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</si>
  <si>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</si>
  <si>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</si>
  <si>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</si>
  <si>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</si>
  <si>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</si>
  <si>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</si>
  <si>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</si>
  <si>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</si>
  <si>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</si>
  <si>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</si>
  <si>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</si>
  <si>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</si>
  <si>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</si>
  <si>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</si>
  <si>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</si>
  <si>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</si>
  <si>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</si>
  <si>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</si>
  <si>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</si>
  <si>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</si>
  <si>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</si>
  <si>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</si>
  <si>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</si>
  <si>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</si>
  <si>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</si>
  <si>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</si>
  <si>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</si>
  <si>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</si>
  <si>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</si>
  <si>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</si>
  <si>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</si>
  <si>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</si>
  <si>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</si>
  <si>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</si>
  <si>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</si>
  <si>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</si>
  <si>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</si>
  <si>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</si>
  <si>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</si>
  <si>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</si>
  <si>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</si>
  <si>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</si>
  <si>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</si>
  <si>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</si>
  <si>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</si>
  <si>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</si>
  <si>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</si>
  <si>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</si>
  <si>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</si>
  <si>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</si>
  <si>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</si>
  <si>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</si>
  <si>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</si>
  <si>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</si>
  <si>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</si>
  <si>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</si>
  <si>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</si>
  <si>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</si>
  <si>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</si>
  <si>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</si>
  <si>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</si>
  <si>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</si>
  <si>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</si>
  <si>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</si>
  <si>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</si>
  <si>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</si>
  <si>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</si>
  <si>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</si>
  <si>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</si>
  <si>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</si>
  <si>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</si>
  <si>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</si>
  <si>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</si>
  <si>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</si>
  <si>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</si>
  <si>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</si>
  <si>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</si>
  <si>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</si>
  <si>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</si>
  <si>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</si>
  <si>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</si>
  <si>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</si>
  <si>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</si>
  <si>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</si>
  <si>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</si>
  <si>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</si>
  <si>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</si>
  <si>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</si>
  <si>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</si>
  <si>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</si>
  <si>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</si>
  <si>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</si>
  <si>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</si>
  <si>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</si>
  <si>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</si>
  <si>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</si>
  <si>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</si>
  <si>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</si>
  <si>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</si>
  <si>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</si>
  <si>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</si>
  <si>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</si>
  <si>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</si>
  <si>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</si>
  <si>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</si>
  <si>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</si>
  <si>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</si>
  <si>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</si>
  <si>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</si>
  <si>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</si>
  <si>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</si>
  <si>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</si>
  <si>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</si>
  <si>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</si>
  <si>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</si>
  <si>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</si>
  <si>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</si>
  <si>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</si>
  <si>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</si>
  <si>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</si>
  <si>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</si>
  <si>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</si>
  <si>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</si>
  <si>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</si>
  <si>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</si>
  <si>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</si>
  <si>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</si>
  <si>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</si>
  <si>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</si>
  <si>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</si>
  <si>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</si>
  <si>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</si>
  <si>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</si>
  <si>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</si>
  <si>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</si>
  <si>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</si>
  <si>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</si>
  <si>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</si>
  <si>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</si>
  <si>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</si>
  <si>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</si>
  <si>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</si>
  <si>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</si>
  <si>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</si>
  <si>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</si>
  <si>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</si>
  <si>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</si>
  <si>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</si>
  <si>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</si>
  <si>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</si>
  <si>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</si>
  <si>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</si>
  <si>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</si>
  <si>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</si>
  <si>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</si>
  <si>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</si>
  <si>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</si>
  <si>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</si>
  <si>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</si>
  <si>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</si>
  <si>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</si>
  <si>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</si>
  <si>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</si>
  <si>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</si>
  <si>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</si>
  <si>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</si>
  <si>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</si>
  <si>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</si>
  <si>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</si>
  <si>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</si>
  <si>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</si>
  <si>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</si>
  <si>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</si>
  <si>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</si>
  <si>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</si>
  <si>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</si>
  <si>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</si>
  <si>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</si>
  <si>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</si>
  <si>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</si>
  <si>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</si>
  <si>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</si>
  <si>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</si>
  <si>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</si>
  <si>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</si>
  <si>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</si>
  <si>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</si>
  <si>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</si>
  <si>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</si>
  <si>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</si>
  <si>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</si>
  <si>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</si>
  <si>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</si>
  <si>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</si>
  <si>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</si>
  <si>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</si>
  <si>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</si>
  <si>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</si>
  <si>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</si>
  <si>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</si>
  <si>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</si>
  <si>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</si>
  <si>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</si>
  <si>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</si>
  <si>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</si>
  <si>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</si>
  <si>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</si>
  <si>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</si>
  <si>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</si>
  <si>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</si>
  <si>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</si>
  <si>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</si>
  <si>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</si>
  <si>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</si>
  <si>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</si>
  <si>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</si>
  <si>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</si>
  <si>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</si>
  <si>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</si>
  <si>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</si>
  <si>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</si>
  <si>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</si>
  <si>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</si>
  <si>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</si>
  <si>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</si>
  <si>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</si>
  <si>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</si>
  <si>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</si>
  <si>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</si>
  <si>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</si>
  <si>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</si>
  <si>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</si>
  <si>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</si>
  <si>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</si>
  <si>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</si>
  <si>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</si>
  <si>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</si>
  <si>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</si>
  <si>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</si>
  <si>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</si>
  <si>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</si>
  <si>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</si>
  <si>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</si>
  <si>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</si>
  <si>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</si>
  <si>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</si>
  <si>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</si>
  <si>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</si>
  <si>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</si>
  <si>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</si>
  <si>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</si>
  <si>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</si>
  <si>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</si>
  <si>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</si>
  <si>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</si>
  <si>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</si>
  <si>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</si>
  <si>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</si>
  <si>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</si>
  <si>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</si>
  <si>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</si>
  <si>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</si>
  <si>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</si>
  <si>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</si>
  <si>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</si>
  <si>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</si>
  <si>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</si>
  <si>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</si>
  <si>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</si>
  <si>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</si>
  <si>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</si>
  <si>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</si>
  <si>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</si>
  <si>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</si>
  <si>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</si>
  <si>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</si>
  <si>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</si>
  <si>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</si>
  <si>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</si>
  <si>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</si>
  <si>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</si>
  <si>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</si>
  <si>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</si>
  <si>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</si>
  <si>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</si>
  <si>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</si>
  <si>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</si>
  <si>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</si>
  <si>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</si>
  <si>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</si>
  <si>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</si>
  <si>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</si>
  <si>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</si>
  <si>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</si>
  <si>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</si>
  <si>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</si>
  <si>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</si>
  <si>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</si>
  <si>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</si>
  <si>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</si>
  <si>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</si>
  <si>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</si>
  <si>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</si>
  <si>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</si>
  <si>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</si>
  <si>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</si>
  <si>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</si>
  <si>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</si>
  <si>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</si>
  <si>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</si>
  <si>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</si>
  <si>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</si>
  <si>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</si>
  <si>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</si>
  <si>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</si>
  <si>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</si>
  <si>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</si>
  <si>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</si>
  <si>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</si>
  <si>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</si>
  <si>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</si>
  <si>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</si>
  <si>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</si>
  <si>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</si>
  <si>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</si>
  <si>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</si>
  <si>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</si>
  <si>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</si>
  <si>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</si>
  <si>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</si>
  <si>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</si>
  <si>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</si>
  <si>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</si>
  <si>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</si>
  <si>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</si>
  <si>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</si>
  <si>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</si>
  <si>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</si>
  <si>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</si>
  <si>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</si>
  <si>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</si>
  <si>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</si>
  <si>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</si>
  <si>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</si>
  <si>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</si>
  <si>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</si>
  <si>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</si>
  <si>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</si>
  <si>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</si>
  <si>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</si>
  <si>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</si>
  <si>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</si>
  <si>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</si>
  <si>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</si>
  <si>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</si>
  <si>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</si>
  <si>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</si>
  <si>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</si>
  <si>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</si>
  <si>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</si>
  <si>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</si>
  <si>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</si>
  <si>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</si>
  <si>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</si>
  <si>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</si>
  <si>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</si>
  <si>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</si>
  <si>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</si>
  <si>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</si>
  <si>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</si>
  <si>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</si>
  <si>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</si>
  <si>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</si>
  <si>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</si>
  <si>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</si>
  <si>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</si>
  <si>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</si>
  <si>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</si>
  <si>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</si>
  <si>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</si>
  <si>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</si>
  <si>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</si>
  <si>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</si>
  <si>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</si>
  <si>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</si>
  <si>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</si>
  <si>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</si>
  <si>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</si>
  <si>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</si>
  <si>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</si>
  <si>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</si>
  <si>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</si>
  <si>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</si>
  <si>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</si>
  <si>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</si>
  <si>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</si>
  <si>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</si>
  <si>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</si>
  <si>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</si>
  <si>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</si>
  <si>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</si>
  <si>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</si>
  <si>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</si>
  <si>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</si>
  <si>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</si>
  <si>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</si>
  <si>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</si>
  <si>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</si>
  <si>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</si>
  <si>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</si>
  <si>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</si>
  <si>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</si>
  <si>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</si>
  <si>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</si>
  <si>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</si>
  <si>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</si>
  <si>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</si>
  <si>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</si>
  <si>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</si>
  <si>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</si>
  <si>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</si>
  <si>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</si>
  <si>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</si>
  <si>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</si>
  <si>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</si>
  <si>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</si>
  <si>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</si>
  <si>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</si>
  <si>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</si>
  <si>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</si>
  <si>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</si>
  <si>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</si>
  <si>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</si>
  <si>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</si>
  <si>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</si>
  <si>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</si>
  <si>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</si>
  <si>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</si>
  <si>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</si>
  <si>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</si>
  <si>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</si>
  <si>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</si>
  <si>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</si>
  <si>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</si>
  <si>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</si>
  <si>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</si>
  <si>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</si>
  <si>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</si>
  <si>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</si>
  <si>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</si>
  <si>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</si>
  <si>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</si>
  <si>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</si>
  <si>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</si>
  <si>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</si>
  <si>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</si>
  <si>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</si>
  <si>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</si>
  <si>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</si>
  <si>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</si>
  <si>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</si>
  <si>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</si>
  <si>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</si>
  <si>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</si>
  <si>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</si>
  <si>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</si>
  <si>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</si>
  <si>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</si>
  <si>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</si>
  <si>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</si>
  <si>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</si>
  <si>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</si>
  <si>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</si>
  <si>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</si>
  <si>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</si>
  <si>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</si>
  <si>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</si>
  <si>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</si>
  <si>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</si>
  <si>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</si>
  <si>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</si>
  <si>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</si>
  <si>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</si>
  <si>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</si>
  <si>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</si>
  <si>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</si>
  <si>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</si>
  <si>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</si>
  <si>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</si>
  <si>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</si>
  <si>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</si>
  <si>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</si>
  <si>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</si>
  <si>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</si>
  <si>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</si>
  <si>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</si>
  <si>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</si>
  <si>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</si>
  <si>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</si>
  <si>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</si>
  <si>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</si>
  <si>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</si>
  <si>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</si>
  <si>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</si>
  <si>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</si>
  <si>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</si>
  <si>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</si>
  <si>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</si>
  <si>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</si>
  <si>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</si>
  <si>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</si>
  <si>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</si>
  <si>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</si>
  <si>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</si>
  <si>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</si>
  <si>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</si>
  <si>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</si>
  <si>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</si>
  <si>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</si>
  <si>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</si>
  <si>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</si>
  <si>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</si>
  <si>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</si>
  <si>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</si>
  <si>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</si>
  <si>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</si>
  <si>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</si>
  <si>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</si>
  <si>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</si>
  <si>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</si>
  <si>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</si>
  <si>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</si>
  <si>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</si>
  <si>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</si>
  <si>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</si>
  <si>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</si>
  <si>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</si>
  <si>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</si>
  <si>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</si>
  <si>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</si>
  <si>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</si>
  <si>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</si>
  <si>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</si>
  <si>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</si>
  <si>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</si>
  <si>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</si>
  <si>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</si>
  <si>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</si>
  <si>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</si>
  <si>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</si>
  <si>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</si>
  <si>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</si>
  <si>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</si>
  <si>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</si>
  <si>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</si>
  <si>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</si>
  <si>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</si>
  <si>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</si>
  <si>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</si>
  <si>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</si>
  <si>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</si>
  <si>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</si>
  <si>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</si>
  <si>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</si>
  <si>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</si>
  <si>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</si>
  <si>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</si>
  <si>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</si>
  <si>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</si>
  <si>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</si>
  <si>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</si>
  <si>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</si>
  <si>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</si>
  <si>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</si>
  <si>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</si>
  <si>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</si>
  <si>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</si>
  <si>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</si>
  <si>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</si>
  <si>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</si>
  <si>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</si>
  <si>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</si>
  <si>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</si>
  <si>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</si>
  <si>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</si>
  <si>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</si>
  <si>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</si>
  <si>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</si>
  <si>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</si>
  <si>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</si>
  <si>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</si>
  <si>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</si>
  <si>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</si>
  <si>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</si>
  <si>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</si>
  <si>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</si>
  <si>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</si>
  <si>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</si>
  <si>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</si>
  <si>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</si>
  <si>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</si>
  <si>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</si>
  <si>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</si>
  <si>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</si>
  <si>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</si>
  <si>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</si>
  <si>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</si>
  <si>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</si>
  <si>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</si>
  <si>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</si>
  <si>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</si>
  <si>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</si>
  <si>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</si>
  <si>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</si>
  <si>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</si>
  <si>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</si>
  <si>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</si>
  <si>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</si>
  <si>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</si>
  <si>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</si>
  <si>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</si>
  <si>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</si>
  <si>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</si>
  <si>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</si>
  <si>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</si>
  <si>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</si>
  <si>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</si>
  <si>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</si>
  <si>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</si>
  <si>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</si>
  <si>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</si>
  <si>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</si>
  <si>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</si>
  <si>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</si>
  <si>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</si>
  <si>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</si>
  <si>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</si>
  <si>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</si>
  <si>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</si>
  <si>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</si>
  <si>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</si>
  <si>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</si>
  <si>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</si>
  <si>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</si>
  <si>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</si>
  <si>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</si>
  <si>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</si>
  <si>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</si>
  <si>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</si>
  <si>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</si>
  <si>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</si>
  <si>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</si>
  <si>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</si>
  <si>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</si>
  <si>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</si>
  <si>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</si>
  <si>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</si>
  <si>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</si>
  <si>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</si>
  <si>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</si>
  <si>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</si>
  <si>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</si>
  <si>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</si>
  <si>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</si>
  <si>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</si>
  <si>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</si>
  <si>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</si>
  <si>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</si>
  <si>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</si>
  <si>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</si>
  <si>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</si>
  <si>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</si>
  <si>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</si>
  <si>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</si>
  <si>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</si>
  <si>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</si>
  <si>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</si>
  <si>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</si>
  <si>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</si>
  <si>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</si>
  <si>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</si>
  <si>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</si>
  <si>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</si>
  <si>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</si>
  <si>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</si>
  <si>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</si>
  <si>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</si>
  <si>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</si>
  <si>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</si>
  <si>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</si>
  <si>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</si>
  <si>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</si>
  <si>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</si>
  <si>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</si>
  <si>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</si>
  <si>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</si>
  <si>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</si>
  <si>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</si>
  <si>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</si>
  <si>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</si>
  <si>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</si>
  <si>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</si>
  <si>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</si>
  <si>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</si>
  <si>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</si>
  <si>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</si>
  <si>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</si>
  <si>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</si>
  <si>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</si>
  <si>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</si>
  <si>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</si>
  <si>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</si>
  <si>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</si>
  <si>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</si>
  <si>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</si>
  <si>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</si>
  <si>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</si>
  <si>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</si>
  <si>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</si>
  <si>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</si>
  <si>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</si>
  <si>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</si>
  <si>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</si>
  <si>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</si>
  <si>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</si>
  <si>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</si>
  <si>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</si>
  <si>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</si>
  <si>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</si>
  <si>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</si>
  <si>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</si>
  <si>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</si>
  <si>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</si>
  <si>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</si>
  <si>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</si>
  <si>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</si>
  <si>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</si>
  <si>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</si>
  <si>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</si>
  <si>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</si>
  <si>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</si>
  <si>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</si>
  <si>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</si>
  <si>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</si>
  <si>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</si>
  <si>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</si>
  <si>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</si>
  <si>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</si>
  <si>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</si>
  <si>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</si>
  <si>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</si>
  <si>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</si>
  <si>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</si>
  <si>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</si>
  <si>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</si>
  <si>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</si>
  <si>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</si>
  <si>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</si>
  <si>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</si>
  <si>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</si>
  <si>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</si>
  <si>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</si>
  <si>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</si>
  <si>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</si>
  <si>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</si>
  <si>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</si>
  <si>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</si>
  <si>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</si>
  <si>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</si>
  <si>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</si>
  <si>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</si>
  <si>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</si>
  <si>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</si>
  <si>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</si>
  <si>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</si>
  <si>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</si>
  <si>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</si>
  <si>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</si>
  <si>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</si>
  <si>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</si>
  <si>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</si>
  <si>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</si>
  <si>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</si>
  <si>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</si>
  <si>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</si>
  <si>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</si>
  <si>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</si>
  <si>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</si>
  <si>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</si>
  <si>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</si>
  <si>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</si>
  <si>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</si>
  <si>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</si>
  <si>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</si>
  <si>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</si>
  <si>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</si>
  <si>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</si>
  <si>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</si>
  <si>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</si>
  <si>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</si>
  <si>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</si>
  <si>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</si>
  <si>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</si>
  <si>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</si>
  <si>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</si>
  <si>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</si>
  <si>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</si>
  <si>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</si>
  <si>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</si>
  <si>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</si>
  <si>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</si>
  <si>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</si>
  <si>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</si>
  <si>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</si>
  <si>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</si>
  <si>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</si>
  <si>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</si>
  <si>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</si>
  <si>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</si>
  <si>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</si>
  <si>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</si>
  <si>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</si>
  <si>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</si>
  <si>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</si>
  <si>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</si>
  <si>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</si>
  <si>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</si>
  <si>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</si>
  <si>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</si>
  <si>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</si>
  <si>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</si>
  <si>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</si>
  <si>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</si>
  <si>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</si>
  <si>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</si>
  <si>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</si>
  <si>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</si>
  <si>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</si>
  <si>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</si>
  <si>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</si>
  <si>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</si>
  <si>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</si>
  <si>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</si>
  <si>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</si>
  <si>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</si>
  <si>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</si>
  <si>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</si>
  <si>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</si>
  <si>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</si>
  <si>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</si>
  <si>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</si>
  <si>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</si>
  <si>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</si>
  <si>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</si>
  <si>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</si>
  <si>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</si>
  <si>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</si>
  <si>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</si>
  <si>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</si>
  <si>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</si>
  <si>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</si>
  <si>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</si>
  <si>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</si>
  <si>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</si>
  <si>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</si>
  <si>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</si>
  <si>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</si>
  <si>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</si>
  <si>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</si>
  <si>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</si>
  <si>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</si>
  <si>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</si>
  <si>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</si>
  <si>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</si>
  <si>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</si>
  <si>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</si>
  <si>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</si>
  <si>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</si>
  <si>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</si>
  <si>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</si>
  <si>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</si>
  <si>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</si>
  <si>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</si>
  <si>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</si>
  <si>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</si>
  <si>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</si>
  <si>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</si>
  <si>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</si>
  <si>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</si>
  <si>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</si>
  <si>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</si>
  <si>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</si>
  <si>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</si>
  <si>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</si>
  <si>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</si>
  <si>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</si>
  <si>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</si>
  <si>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</si>
  <si>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</si>
  <si>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</si>
  <si>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</si>
  <si>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</si>
  <si>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</si>
  <si>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</si>
  <si>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</si>
  <si>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</si>
  <si>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</si>
  <si>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</si>
  <si>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</si>
  <si>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</si>
  <si>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</si>
  <si>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</si>
  <si>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</si>
  <si>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</si>
  <si>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</si>
  <si>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</si>
  <si>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</si>
  <si>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</si>
  <si>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</si>
  <si>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</si>
  <si>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</si>
  <si>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</si>
  <si>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</si>
  <si>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</si>
  <si>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</si>
  <si>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</si>
  <si>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</si>
  <si>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</si>
  <si>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</si>
  <si>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</si>
  <si>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</si>
  <si>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</si>
  <si>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</si>
  <si>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</si>
  <si>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</si>
  <si>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</si>
  <si>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</si>
  <si>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</si>
  <si>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</si>
  <si>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</si>
  <si>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</si>
  <si>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</si>
  <si>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</si>
  <si>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</si>
  <si>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</si>
  <si>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</si>
  <si>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</si>
  <si>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</si>
  <si>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</si>
  <si>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</si>
  <si>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</si>
  <si>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</si>
  <si>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</si>
  <si>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</si>
  <si>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</si>
  <si>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</si>
  <si>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</si>
  <si>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</si>
  <si>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</si>
  <si>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</si>
  <si>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</si>
  <si>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</si>
  <si>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</si>
  <si>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</si>
  <si>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</si>
  <si>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</si>
  <si>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</si>
  <si>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</si>
  <si>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</si>
  <si>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</si>
  <si>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</si>
  <si>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</si>
  <si>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</si>
  <si>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</si>
  <si>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</si>
  <si>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</si>
  <si>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</si>
  <si>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</si>
  <si>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</si>
  <si>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</si>
  <si>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</si>
  <si>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</si>
  <si>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</si>
  <si>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</si>
  <si>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</si>
  <si>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</si>
  <si>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</si>
  <si>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</si>
  <si>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</si>
  <si>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</si>
  <si>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</si>
  <si>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</si>
  <si>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</si>
  <si>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</si>
  <si>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</si>
  <si>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</si>
  <si>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</si>
  <si>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</si>
  <si>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</si>
  <si>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</si>
  <si>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</si>
  <si>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</si>
  <si>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</si>
  <si>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</si>
  <si>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</si>
  <si>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</si>
  <si>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</si>
  <si>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</si>
  <si>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</si>
  <si>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</si>
  <si>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</si>
  <si>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</si>
  <si>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</si>
  <si>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</si>
  <si>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</si>
  <si>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</si>
  <si>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</si>
  <si>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</si>
  <si>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</si>
  <si>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</si>
  <si>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</si>
  <si>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</si>
  <si>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</si>
  <si>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</si>
  <si>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</si>
  <si>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</si>
  <si>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</si>
  <si>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</si>
  <si>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</si>
  <si>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</si>
  <si>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</si>
  <si>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</si>
  <si>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</si>
  <si>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</si>
  <si>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</si>
  <si>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</si>
  <si>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</si>
  <si>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</si>
  <si>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</si>
  <si>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</si>
  <si>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</si>
  <si>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</si>
  <si>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</si>
  <si>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</si>
  <si>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</si>
  <si>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</si>
  <si>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</si>
  <si>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</si>
  <si>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</si>
  <si>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</si>
  <si>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</si>
  <si>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</si>
  <si>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</si>
  <si>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</si>
  <si>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</si>
  <si>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</si>
  <si>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</si>
  <si>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</si>
  <si>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</si>
  <si>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</si>
  <si>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</si>
  <si>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</si>
  <si>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</si>
  <si>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</si>
  <si>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</si>
  <si>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</si>
  <si>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</si>
  <si>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</si>
  <si>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</si>
  <si>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</si>
  <si>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</si>
  <si>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</si>
  <si>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</si>
  <si>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</si>
  <si>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</si>
  <si>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</si>
  <si>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</si>
  <si>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</si>
  <si>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</si>
  <si>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</si>
  <si>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</si>
  <si>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</si>
  <si>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</si>
  <si>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</si>
  <si>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</si>
  <si>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</si>
  <si>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</si>
  <si>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</si>
  <si>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</si>
  <si>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</si>
  <si>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</si>
  <si>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</si>
  <si>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</si>
  <si>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</si>
  <si>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</si>
  <si>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</si>
  <si>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</si>
  <si>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</si>
  <si>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</si>
  <si>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</si>
  <si>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</si>
  <si>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</si>
  <si>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</si>
  <si>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</si>
  <si>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</si>
  <si>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</si>
  <si>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</si>
  <si>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</si>
  <si>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</si>
  <si>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</si>
  <si>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</si>
  <si>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</si>
  <si>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</si>
  <si>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</si>
  <si>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</si>
  <si>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</si>
  <si>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</si>
  <si>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</si>
  <si>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</si>
  <si>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</si>
  <si>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</si>
  <si>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</si>
  <si>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</si>
  <si>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</si>
  <si>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</si>
  <si>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</si>
  <si>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</si>
  <si>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</si>
  <si>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</si>
  <si>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</si>
  <si>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</si>
  <si>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</si>
  <si>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</si>
  <si>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</si>
  <si>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</si>
  <si>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</si>
  <si>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</si>
  <si>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</si>
  <si>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</si>
  <si>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</si>
  <si>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</si>
  <si>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</si>
  <si>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</si>
  <si>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</si>
  <si>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</si>
  <si>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</si>
  <si>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</si>
  <si>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</si>
  <si>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</si>
  <si>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</si>
  <si>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</si>
  <si>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</si>
  <si>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</si>
  <si>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</si>
  <si>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</si>
  <si>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</si>
  <si>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</si>
  <si>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</si>
  <si>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</si>
  <si>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</si>
  <si>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</si>
  <si>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</si>
  <si>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</si>
  <si>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</si>
  <si>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</si>
  <si>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</si>
  <si>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</si>
  <si>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</si>
  <si>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</si>
  <si>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</si>
  <si>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</si>
  <si>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</si>
  <si>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</si>
  <si>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</si>
  <si>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</si>
  <si>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</si>
  <si>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</si>
  <si>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</si>
  <si>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</si>
  <si>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</si>
  <si>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</si>
  <si>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</si>
  <si>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</si>
  <si>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</si>
  <si>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</si>
  <si>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</si>
  <si>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</si>
  <si>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</si>
  <si>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</si>
  <si>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</si>
  <si>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</si>
  <si>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</si>
  <si>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</si>
  <si>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</si>
  <si>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</si>
  <si>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</si>
  <si>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</si>
  <si>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</si>
  <si>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</si>
  <si>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</si>
  <si>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</si>
  <si>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</si>
  <si>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</si>
  <si>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</si>
  <si>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</si>
  <si>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</si>
  <si>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</si>
  <si>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</si>
  <si>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</si>
  <si>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</si>
  <si>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</si>
  <si>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</si>
  <si>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</si>
  <si>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</si>
  <si>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</si>
  <si>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</si>
  <si>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</si>
  <si>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</si>
  <si>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</si>
  <si>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</si>
  <si>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</si>
  <si>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</si>
  <si>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</si>
  <si>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</si>
  <si>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</si>
  <si>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</si>
  <si>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</si>
  <si>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</si>
  <si>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</si>
  <si>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</si>
  <si>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</si>
  <si>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</si>
  <si>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</si>
  <si>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</si>
  <si>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</si>
  <si>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</si>
  <si>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</si>
  <si>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</si>
  <si>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</si>
  <si>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</si>
  <si>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</si>
  <si>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</si>
  <si>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</si>
  <si>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</si>
  <si>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</si>
  <si>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</si>
  <si>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</si>
  <si>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</si>
  <si>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</si>
  <si>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</si>
  <si>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</si>
  <si>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</si>
  <si>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</si>
  <si>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</si>
  <si>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</si>
  <si>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</si>
  <si>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</si>
  <si>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</si>
  <si>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</si>
  <si>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</si>
  <si>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</si>
  <si>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</si>
  <si>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</si>
  <si>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</si>
  <si>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</si>
  <si>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</si>
  <si>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</si>
  <si>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</si>
  <si>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</si>
  <si>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</si>
  <si>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</si>
  <si>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</si>
  <si>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</si>
  <si>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</si>
  <si>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</si>
  <si>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</si>
  <si>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</si>
  <si>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</si>
  <si>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</si>
  <si>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</si>
  <si>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</si>
  <si>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</si>
  <si>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</si>
  <si>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</si>
  <si>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</si>
  <si>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</si>
  <si>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</si>
  <si>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</si>
  <si>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</si>
  <si>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</si>
  <si>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</si>
  <si>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</si>
  <si>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</si>
  <si>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</si>
  <si>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</si>
  <si>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</si>
  <si>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</si>
  <si>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</si>
  <si>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</si>
  <si>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</si>
  <si>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</si>
  <si>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</si>
  <si>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</si>
  <si>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</si>
  <si>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</si>
  <si>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</si>
  <si>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</si>
  <si>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</si>
  <si>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</si>
  <si>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</si>
  <si>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</si>
  <si>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</si>
  <si>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</si>
  <si>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</si>
  <si>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</si>
  <si>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</si>
  <si>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</si>
  <si>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</si>
  <si>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</si>
  <si>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</si>
  <si>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</si>
  <si>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</si>
  <si>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</si>
  <si>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</si>
  <si>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</si>
  <si>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</si>
  <si>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</si>
  <si>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</si>
  <si>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</si>
  <si>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</si>
  <si>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</si>
  <si>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</si>
  <si>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</si>
  <si>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</si>
  <si>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</si>
  <si>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</si>
  <si>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</si>
  <si>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</si>
  <si>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</si>
  <si>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</si>
  <si>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</si>
  <si>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</si>
  <si>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</si>
  <si>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</si>
  <si>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</si>
  <si>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</si>
  <si>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</si>
  <si>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</si>
  <si>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</si>
  <si>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</si>
  <si>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</si>
  <si>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</si>
  <si>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</si>
  <si>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</si>
  <si>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</si>
  <si>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</si>
  <si>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</si>
  <si>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</si>
  <si>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</si>
  <si>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</si>
  <si>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</si>
  <si>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</si>
  <si>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</si>
  <si>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</si>
  <si>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</si>
  <si>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</si>
  <si>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</si>
  <si>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</si>
  <si>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</si>
  <si>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</si>
  <si>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</si>
  <si>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</si>
  <si>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</si>
  <si>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</si>
  <si>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</si>
  <si>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</si>
  <si>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</si>
  <si>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</si>
  <si>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</si>
  <si>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</si>
  <si>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</si>
  <si>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</si>
  <si>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</si>
  <si>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</si>
  <si>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</si>
  <si>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</si>
  <si>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</si>
  <si>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</si>
  <si>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</si>
  <si>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</si>
  <si>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</si>
  <si>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</si>
  <si>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</si>
  <si>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</si>
  <si>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</si>
  <si>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</si>
  <si>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</si>
  <si>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</si>
  <si>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</si>
  <si>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</si>
  <si>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</si>
  <si>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</si>
  <si>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</si>
  <si>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</si>
  <si>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</si>
  <si>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</si>
  <si>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</si>
  <si>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</si>
  <si>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</si>
  <si>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</si>
  <si>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</si>
  <si>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</si>
  <si>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</si>
  <si>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</si>
  <si>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</si>
  <si>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</si>
  <si>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</si>
  <si>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</si>
  <si>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</si>
  <si>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</si>
  <si>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</si>
  <si>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</si>
  <si>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</si>
  <si>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</si>
  <si>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</si>
  <si>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</si>
  <si>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</si>
  <si>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</si>
  <si>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</si>
  <si>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</si>
  <si>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</si>
  <si>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</si>
  <si>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</si>
  <si>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</si>
  <si>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</si>
  <si>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</si>
  <si>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</si>
  <si>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</si>
  <si>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</si>
  <si>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</si>
  <si>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</si>
  <si>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</si>
  <si>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</si>
  <si>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</si>
  <si>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</si>
  <si>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</si>
  <si>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</si>
  <si>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</si>
  <si>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</si>
  <si>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</si>
  <si>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</si>
  <si>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</si>
  <si>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</si>
  <si>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</si>
  <si>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</si>
  <si>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</si>
  <si>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</si>
  <si>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</si>
  <si>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</si>
  <si>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</si>
  <si>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</si>
  <si>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</si>
  <si>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</si>
  <si>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</si>
  <si>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</si>
  <si>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</si>
  <si>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</si>
  <si>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</si>
  <si>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</si>
  <si>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</si>
  <si>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</si>
  <si>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</si>
  <si>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</si>
  <si>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</si>
  <si>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</si>
  <si>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</si>
  <si>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</si>
  <si>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</si>
  <si>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</si>
  <si>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</si>
  <si>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</si>
  <si>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</si>
  <si>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</si>
  <si>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</si>
  <si>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</si>
  <si>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</si>
  <si>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</si>
  <si>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</si>
  <si>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</si>
  <si>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</si>
  <si>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</si>
  <si>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</si>
  <si>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</si>
  <si>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</si>
  <si>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</si>
  <si>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</si>
  <si>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</si>
  <si>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</si>
  <si>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</si>
  <si>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</si>
  <si>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</si>
  <si>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</si>
  <si>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</si>
  <si>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</si>
  <si>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</si>
  <si>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</si>
  <si>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</si>
  <si>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</si>
  <si>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</si>
  <si>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</si>
  <si>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</si>
  <si>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</si>
  <si>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</si>
  <si>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</si>
  <si>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</si>
  <si>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</si>
  <si>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</si>
  <si>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</si>
  <si>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</si>
  <si>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</si>
  <si>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</si>
  <si>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</si>
  <si>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</si>
  <si>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</si>
  <si>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</si>
  <si>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</si>
  <si>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</si>
  <si>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</si>
  <si>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</si>
  <si>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</si>
  <si>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</si>
  <si>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</si>
  <si>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</si>
  <si>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</si>
  <si>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</si>
  <si>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</si>
  <si>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</si>
  <si>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</si>
  <si>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</si>
  <si>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</si>
  <si>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</si>
  <si>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</si>
  <si>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</si>
  <si>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</si>
  <si>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</si>
  <si>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</si>
  <si>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</si>
  <si>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</si>
  <si>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</si>
  <si>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</si>
  <si>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</si>
  <si>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</si>
  <si>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</si>
  <si>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</si>
  <si>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</si>
  <si>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</si>
  <si>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</si>
  <si>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</si>
  <si>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</si>
  <si>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</si>
  <si>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</si>
  <si>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</si>
  <si>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</si>
  <si>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</si>
  <si>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</si>
  <si>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</si>
  <si>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</si>
  <si>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</si>
  <si>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</si>
  <si>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</si>
  <si>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</si>
  <si>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</si>
  <si>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</si>
  <si>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</si>
  <si>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</si>
  <si>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</si>
  <si>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</si>
  <si>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</si>
  <si>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</si>
  <si>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</si>
  <si>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</si>
  <si>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</si>
  <si>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</si>
  <si>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</si>
  <si>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</si>
  <si>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</si>
  <si>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</si>
  <si>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</si>
  <si>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</si>
  <si>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</si>
  <si>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</si>
  <si>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</si>
  <si>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</si>
  <si>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</si>
  <si>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</si>
  <si>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</si>
  <si>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</si>
  <si>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</si>
  <si>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</si>
  <si>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</si>
  <si>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</si>
  <si>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</si>
  <si>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</si>
  <si>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</si>
  <si>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</si>
  <si>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</si>
  <si>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</si>
  <si>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</si>
  <si>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</si>
  <si>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</si>
  <si>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</si>
  <si>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</si>
  <si>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</si>
  <si>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</si>
  <si>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</si>
  <si>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</si>
  <si>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</si>
  <si>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</si>
  <si>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</si>
  <si>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</si>
  <si>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</si>
  <si>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</si>
  <si>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</si>
  <si>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</si>
  <si>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</si>
  <si>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</si>
  <si>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</si>
  <si>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</si>
  <si>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</si>
  <si>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</si>
  <si>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</si>
  <si>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</si>
  <si>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</si>
  <si>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</si>
  <si>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</si>
  <si>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</si>
  <si>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</si>
  <si>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</si>
  <si>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</si>
  <si>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</si>
  <si>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</si>
  <si>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</si>
  <si>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</si>
  <si>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</si>
  <si>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</si>
  <si>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</si>
  <si>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</si>
  <si>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</si>
  <si>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</si>
  <si>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</si>
  <si>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</si>
  <si>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</si>
  <si>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</si>
  <si>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</si>
  <si>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</si>
  <si>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</si>
  <si>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</si>
  <si>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</si>
  <si>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</si>
  <si>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</si>
  <si>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</si>
  <si>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</si>
  <si>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</si>
  <si>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</si>
  <si>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</si>
  <si>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</si>
  <si>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</si>
  <si>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</si>
  <si>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</si>
  <si>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</si>
  <si>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</si>
  <si>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</si>
  <si>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</si>
  <si>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</si>
  <si>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</si>
  <si>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</si>
  <si>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</si>
  <si>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</si>
  <si>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</si>
  <si>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</si>
  <si>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</si>
  <si>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</si>
  <si>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</si>
  <si>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</si>
  <si>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</si>
  <si>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</si>
  <si>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</si>
  <si>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</si>
  <si>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</si>
  <si>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</si>
  <si>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</si>
  <si>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</si>
  <si>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</si>
  <si>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</si>
  <si>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</si>
  <si>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</si>
  <si>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</si>
  <si>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</si>
  <si>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</si>
  <si>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</si>
  <si>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</si>
  <si>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</si>
  <si>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</si>
  <si>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</si>
  <si>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</si>
  <si>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</si>
  <si>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</si>
  <si>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</si>
  <si>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</si>
  <si>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</si>
  <si>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</si>
  <si>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</si>
  <si>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</si>
  <si>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</si>
  <si>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</si>
  <si>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</si>
  <si>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</si>
  <si>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</si>
  <si>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</si>
  <si>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</si>
  <si>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</si>
  <si>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</si>
  <si>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</si>
  <si>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</si>
  <si>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</si>
  <si>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</si>
  <si>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</si>
  <si>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</si>
  <si>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</si>
  <si>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</si>
  <si>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</si>
  <si>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</si>
  <si>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</si>
  <si>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</si>
  <si>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</si>
  <si>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</si>
  <si>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</si>
  <si>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</si>
  <si>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</si>
  <si>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</si>
  <si>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</si>
  <si>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</si>
  <si>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</si>
  <si>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</si>
  <si>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</si>
  <si>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</si>
  <si>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</si>
  <si>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</si>
  <si>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</si>
  <si>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</si>
  <si>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</si>
  <si>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</si>
  <si>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</si>
  <si>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</si>
  <si>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</si>
  <si>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</si>
  <si>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</si>
  <si>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</si>
  <si>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</si>
  <si>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</si>
  <si>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</si>
  <si>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</si>
  <si>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</si>
  <si>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</si>
  <si>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</si>
  <si>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</si>
  <si>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</si>
  <si>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</si>
  <si>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</si>
  <si>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</si>
  <si>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</si>
  <si>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</si>
  <si>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</si>
  <si>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</si>
  <si>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</si>
  <si>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</si>
  <si>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</si>
  <si>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</si>
  <si>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</si>
  <si>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</si>
  <si>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</si>
  <si>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</si>
  <si>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</si>
  <si>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</si>
  <si>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</si>
  <si>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</si>
  <si>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</si>
  <si>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</si>
  <si>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</si>
  <si>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</si>
  <si>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</si>
  <si>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</si>
  <si>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</si>
  <si>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</si>
  <si>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</si>
  <si>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</si>
  <si>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</si>
  <si>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</si>
  <si>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</si>
  <si>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</si>
  <si>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</si>
  <si>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</si>
  <si>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</si>
  <si>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</si>
  <si>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</si>
  <si>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</si>
  <si>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</si>
  <si>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</si>
  <si>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</si>
  <si>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</si>
  <si>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</si>
  <si>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</si>
  <si>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</si>
  <si>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</si>
  <si>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</si>
  <si>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</si>
  <si>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</si>
  <si>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</si>
  <si>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</si>
  <si>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</si>
  <si>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</si>
  <si>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</si>
  <si>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</si>
  <si>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</si>
  <si>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</si>
  <si>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</si>
  <si>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</si>
  <si>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</si>
  <si>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</si>
  <si>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</si>
  <si>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</si>
  <si>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</si>
  <si>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</si>
  <si>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</si>
  <si>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</si>
  <si>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</si>
  <si>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</si>
  <si>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</si>
  <si>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</si>
  <si>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</si>
  <si>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</si>
  <si>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</si>
  <si>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</si>
  <si>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</si>
  <si>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</si>
  <si>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</si>
  <si>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</si>
  <si>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</si>
  <si>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</si>
  <si>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</si>
  <si>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</si>
  <si>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</si>
  <si>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</si>
  <si>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</si>
  <si>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</si>
  <si>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</si>
  <si>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</si>
  <si>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</si>
  <si>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</si>
  <si>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</si>
  <si>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</si>
  <si>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</si>
  <si>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</si>
  <si>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</si>
  <si>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</si>
  <si>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</si>
  <si>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</si>
  <si>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</si>
  <si>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</si>
  <si>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</si>
  <si>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</si>
  <si>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</si>
  <si>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</si>
  <si>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</si>
  <si>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</si>
  <si>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</si>
  <si>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</si>
  <si>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</si>
  <si>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</si>
  <si>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</si>
  <si>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</si>
  <si>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</si>
  <si>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</si>
  <si>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</si>
  <si>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</si>
  <si>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</si>
  <si>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</si>
  <si>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</si>
  <si>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</si>
  <si>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</si>
  <si>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</si>
  <si>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</si>
  <si>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</si>
  <si>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</si>
  <si>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</si>
  <si>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</si>
  <si>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</si>
  <si>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</si>
  <si>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</si>
  <si>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</si>
  <si>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</si>
  <si>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</si>
  <si>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</si>
  <si>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</si>
  <si>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</si>
  <si>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</si>
  <si>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</si>
  <si>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</si>
  <si>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</si>
  <si>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</si>
  <si>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</si>
  <si>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</si>
  <si>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</si>
  <si>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</si>
  <si>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</si>
  <si>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</si>
  <si>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</si>
  <si>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</si>
  <si>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</si>
  <si>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</si>
  <si>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</si>
  <si>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</si>
  <si>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</si>
  <si>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</si>
  <si>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</si>
  <si>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</si>
  <si>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</si>
  <si>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</si>
  <si>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</si>
  <si>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</si>
  <si>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</si>
  <si>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</si>
  <si>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</si>
  <si>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</si>
  <si>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</si>
  <si>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</si>
  <si>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</si>
  <si>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</si>
  <si>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</si>
  <si>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</si>
  <si>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</si>
  <si>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</si>
  <si>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</si>
  <si>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</si>
  <si>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</si>
  <si>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</si>
  <si>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</si>
  <si>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</si>
  <si>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</si>
  <si>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</si>
  <si>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</si>
  <si>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</si>
  <si>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</si>
  <si>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</si>
  <si>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</si>
  <si>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</si>
  <si>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</si>
  <si>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</si>
  <si>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</si>
  <si>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</si>
  <si>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</si>
  <si>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</si>
  <si>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</si>
  <si>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</si>
  <si>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</si>
  <si>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</si>
  <si>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</si>
  <si>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</si>
  <si>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</si>
  <si>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</si>
  <si>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</si>
  <si>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</si>
  <si>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</si>
  <si>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</si>
  <si>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</si>
  <si>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</si>
  <si>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</si>
  <si>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</si>
  <si>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</si>
  <si>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</si>
  <si>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</si>
  <si>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</si>
  <si>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</si>
  <si>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</si>
  <si>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</si>
  <si>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</si>
  <si>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</si>
  <si>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</si>
  <si>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</si>
  <si>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</si>
  <si>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</si>
  <si>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</si>
  <si>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</si>
  <si>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</si>
  <si>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</si>
  <si>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</si>
  <si>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</si>
  <si>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</si>
  <si>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</si>
  <si>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</si>
  <si>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</si>
  <si>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</si>
  <si>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</si>
  <si>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</si>
  <si>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</si>
  <si>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</si>
  <si>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</si>
  <si>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</si>
  <si>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</si>
  <si>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</si>
  <si>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</si>
  <si>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</si>
  <si>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</si>
  <si>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</si>
  <si>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</si>
  <si>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</si>
  <si>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</si>
  <si>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</si>
  <si>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</si>
  <si>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</si>
  <si>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</si>
  <si>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</si>
  <si>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</si>
  <si>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</si>
  <si>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</si>
  <si>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</si>
  <si>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</si>
  <si>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</si>
  <si>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</si>
  <si>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</si>
  <si>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</si>
  <si>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</si>
  <si>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</si>
  <si>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</si>
  <si>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</si>
  <si>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</si>
  <si>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</si>
  <si>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</si>
  <si>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</si>
  <si>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</si>
  <si>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</si>
  <si>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</si>
  <si>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</si>
  <si>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</si>
  <si>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</si>
  <si>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</si>
  <si>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</si>
  <si>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</si>
  <si>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</si>
  <si>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</si>
  <si>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</si>
  <si>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</si>
  <si>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</si>
  <si>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</si>
  <si>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</si>
  <si>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</si>
  <si>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</si>
  <si>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</si>
  <si>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</si>
  <si>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</si>
  <si>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</si>
  <si>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</si>
  <si>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</si>
  <si>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</si>
  <si>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</si>
  <si>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</si>
  <si>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</si>
  <si>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</si>
  <si>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</si>
  <si>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</si>
  <si>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</si>
  <si>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</si>
  <si>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</si>
  <si>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</si>
  <si>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</si>
  <si>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</si>
  <si>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</si>
  <si>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</si>
  <si>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</si>
  <si>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</si>
  <si>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</si>
  <si>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</si>
  <si>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</si>
  <si>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</si>
  <si>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</si>
  <si>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</si>
  <si>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</si>
  <si>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</si>
  <si>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</si>
  <si>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</si>
  <si>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</si>
  <si>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</si>
  <si>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</si>
  <si>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</si>
  <si>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</si>
  <si>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</si>
  <si>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</si>
  <si>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</si>
  <si>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</si>
  <si>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</si>
  <si>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</si>
  <si>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</si>
  <si>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</si>
  <si>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</si>
  <si>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</si>
  <si>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</si>
  <si>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</si>
  <si>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</si>
  <si>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</si>
  <si>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</si>
  <si>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</si>
  <si>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</si>
  <si>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</si>
  <si>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</si>
  <si>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</si>
  <si>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</si>
  <si>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</si>
  <si>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</si>
  <si>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</si>
  <si>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</si>
  <si>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</si>
  <si>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</si>
  <si>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</si>
  <si>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</si>
  <si>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</si>
  <si>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</si>
  <si>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</si>
  <si>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</si>
  <si>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</si>
  <si>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</si>
  <si>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</si>
  <si>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</si>
  <si>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</si>
  <si>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</si>
  <si>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</si>
  <si>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</si>
  <si>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</si>
  <si>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</si>
  <si>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</si>
  <si>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</si>
  <si>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</si>
  <si>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</si>
  <si>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</si>
  <si>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</si>
  <si>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</si>
  <si>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</si>
  <si>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</si>
  <si>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</si>
  <si>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</si>
  <si>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</si>
  <si>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</si>
  <si>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</si>
  <si>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</si>
  <si>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</si>
  <si>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</si>
  <si>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</si>
  <si>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</si>
  <si>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</si>
  <si>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</si>
  <si>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</si>
  <si>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</si>
  <si>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</si>
  <si>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</si>
  <si>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</si>
  <si>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</si>
  <si>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</si>
  <si>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</si>
  <si>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</si>
  <si>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</si>
  <si>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</si>
  <si>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</si>
  <si>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</si>
  <si>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</si>
  <si>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</si>
  <si>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</si>
  <si>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</si>
  <si>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</si>
  <si>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</si>
  <si>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</si>
  <si>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</si>
  <si>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</si>
  <si>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</si>
  <si>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</si>
  <si>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</si>
  <si>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</si>
  <si>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</si>
  <si>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</si>
  <si>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</si>
  <si>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</si>
  <si>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</si>
  <si>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</si>
  <si>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</si>
  <si>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</si>
  <si>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</si>
  <si>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</si>
  <si>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</si>
  <si>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</si>
  <si>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</si>
  <si>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</si>
  <si>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</si>
  <si>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</si>
  <si>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</si>
  <si>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</si>
  <si>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</si>
  <si>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</si>
  <si>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</si>
  <si>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</si>
  <si>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</si>
  <si>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</si>
  <si>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</si>
  <si>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</si>
  <si>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</si>
  <si>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</si>
  <si>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</si>
  <si>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</si>
  <si>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</si>
  <si>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</si>
  <si>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</si>
  <si>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</si>
  <si>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</si>
  <si>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</si>
  <si>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</si>
  <si>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</si>
  <si>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</si>
  <si>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</si>
  <si>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</si>
  <si>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</si>
  <si>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</si>
  <si>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</si>
  <si>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</si>
  <si>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</si>
  <si>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</si>
  <si>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</si>
  <si>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</si>
  <si>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</si>
  <si>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</si>
  <si>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</si>
  <si>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</si>
  <si>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</si>
  <si>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</si>
  <si>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</si>
  <si>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</si>
  <si>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</si>
  <si>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</si>
  <si>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</si>
  <si>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</si>
  <si>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</si>
  <si>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</si>
  <si>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</si>
  <si>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</si>
  <si>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</si>
  <si>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</si>
  <si>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</si>
  <si>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</si>
  <si>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</si>
  <si>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</si>
  <si>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</si>
  <si>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</si>
  <si>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</si>
  <si>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</si>
  <si>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</si>
  <si>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</si>
  <si>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</si>
  <si>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</si>
  <si>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</si>
  <si>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</si>
  <si>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</si>
  <si>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</si>
  <si>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</si>
  <si>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</si>
  <si>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</si>
  <si>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</si>
  <si>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</si>
  <si>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</si>
  <si>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</si>
  <si>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</si>
  <si>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</si>
  <si>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</si>
  <si>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</si>
  <si>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</si>
  <si>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</si>
  <si>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</si>
  <si>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</si>
  <si>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</si>
  <si>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</si>
  <si>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</si>
  <si>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</si>
  <si>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</si>
  <si>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</si>
  <si>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</si>
  <si>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</si>
  <si>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</si>
  <si>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</si>
  <si>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</si>
  <si>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</si>
  <si>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</si>
  <si>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</si>
  <si>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</si>
  <si>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</si>
  <si>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</si>
  <si>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</si>
  <si>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</si>
  <si>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</si>
  <si>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</si>
  <si>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</si>
  <si>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</si>
  <si>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</si>
  <si>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</si>
  <si>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</si>
  <si>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</si>
  <si>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</si>
  <si>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</si>
  <si>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</si>
  <si>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</si>
  <si>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</si>
  <si>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</si>
  <si>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</si>
  <si>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</si>
  <si>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</si>
  <si>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</si>
  <si>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</si>
  <si>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</si>
  <si>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</si>
  <si>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</si>
  <si>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</si>
  <si>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</si>
  <si>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</si>
  <si>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</si>
  <si>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</si>
  <si>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</si>
  <si>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</si>
  <si>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</si>
  <si>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</si>
  <si>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</si>
  <si>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</si>
  <si>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</si>
  <si>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</si>
  <si>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</si>
  <si>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</si>
  <si>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</si>
  <si>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</si>
  <si>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</si>
  <si>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</si>
  <si>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</si>
  <si>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</si>
  <si>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</si>
  <si>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</si>
  <si>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</si>
  <si>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</si>
  <si>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</si>
  <si>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</si>
  <si>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</si>
  <si>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</si>
  <si>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</si>
  <si>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</si>
  <si>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</si>
  <si>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</si>
  <si>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</si>
  <si>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</si>
  <si>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</si>
  <si>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</si>
  <si>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</si>
  <si>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</si>
  <si>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</si>
  <si>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</si>
  <si>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</si>
  <si>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</si>
  <si>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</si>
  <si>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</si>
  <si>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</si>
  <si>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</si>
  <si>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</si>
  <si>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</si>
  <si>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</si>
  <si>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</si>
  <si>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</si>
  <si>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</si>
  <si>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</si>
  <si>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</si>
  <si>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</si>
  <si>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</si>
  <si>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</si>
  <si>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</si>
  <si>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</si>
  <si>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</si>
  <si>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</si>
  <si>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</si>
  <si>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</si>
  <si>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</si>
  <si>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</si>
  <si>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</si>
  <si>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</si>
  <si>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</si>
  <si>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</si>
  <si>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</si>
  <si>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</si>
  <si>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</si>
  <si>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</si>
  <si>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</si>
  <si>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</si>
  <si>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</si>
  <si>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</si>
  <si>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</si>
  <si>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</si>
  <si>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</si>
  <si>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</si>
  <si>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</si>
  <si>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</si>
  <si>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</si>
  <si>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</si>
  <si>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</si>
  <si>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</si>
  <si>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</si>
  <si>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</si>
  <si>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</si>
  <si>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</si>
  <si>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</si>
  <si>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</si>
  <si>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</si>
  <si>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</si>
  <si>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</si>
  <si>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</si>
  <si>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</si>
  <si>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</si>
  <si>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</si>
  <si>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</si>
  <si>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</si>
  <si>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</si>
  <si>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</si>
  <si>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</si>
  <si>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</si>
  <si>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</si>
  <si>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</si>
  <si>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</si>
  <si>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</si>
  <si>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</si>
  <si>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</si>
  <si>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</si>
  <si>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</si>
  <si>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</si>
  <si>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</si>
  <si>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</si>
  <si>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</si>
  <si>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</si>
  <si>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</si>
  <si>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</si>
  <si>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</si>
  <si>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</si>
  <si>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</si>
  <si>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</si>
  <si>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</si>
  <si>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</si>
  <si>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</si>
  <si>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</si>
  <si>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</si>
  <si>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</si>
  <si>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</si>
  <si>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</si>
  <si>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</si>
  <si>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</si>
  <si>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</si>
  <si>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</si>
  <si>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</si>
  <si>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</si>
  <si>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</si>
  <si>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</si>
  <si>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</si>
  <si>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</si>
  <si>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</si>
  <si>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</si>
  <si>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</si>
  <si>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</si>
  <si>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</si>
  <si>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</si>
  <si>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</si>
  <si>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</si>
  <si>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</si>
  <si>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</si>
  <si>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</si>
  <si>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</si>
  <si>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</si>
  <si>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</si>
  <si>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</si>
  <si>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</si>
  <si>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</si>
  <si>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</si>
  <si>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</si>
  <si>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</si>
  <si>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</si>
  <si>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</si>
  <si>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</si>
  <si>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</si>
  <si>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</si>
  <si>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</si>
  <si>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</si>
  <si>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</si>
  <si>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</si>
  <si>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</si>
  <si>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</si>
  <si>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</si>
  <si>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</si>
  <si>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</si>
  <si>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</si>
  <si>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</si>
  <si>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</si>
  <si>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</si>
  <si>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</si>
  <si>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</si>
  <si>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</si>
  <si>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</si>
  <si>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</si>
  <si>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</si>
  <si>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</si>
  <si>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</si>
  <si>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</si>
  <si>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</si>
  <si>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</si>
  <si>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</si>
  <si>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</si>
  <si>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</si>
  <si>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</si>
  <si>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</si>
  <si>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</si>
  <si>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</si>
  <si>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</si>
  <si>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</si>
  <si>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</si>
  <si>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</si>
  <si>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</si>
  <si>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</si>
  <si>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</si>
  <si>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</si>
  <si>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</si>
  <si>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</si>
  <si>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</si>
  <si>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</si>
  <si>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</si>
  <si>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</si>
  <si>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</si>
  <si>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</si>
  <si>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</si>
  <si>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</si>
  <si>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</si>
  <si>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</si>
  <si>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</si>
  <si>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</si>
  <si>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</si>
  <si>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</si>
  <si>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</si>
  <si>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</si>
  <si>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</si>
  <si>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</si>
  <si>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</si>
  <si>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</si>
  <si>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</si>
  <si>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</si>
  <si>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</si>
  <si>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</si>
  <si>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</si>
  <si>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</si>
  <si>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</si>
  <si>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</si>
  <si>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</si>
  <si>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</si>
  <si>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</si>
  <si>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</si>
  <si>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</si>
  <si>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</si>
  <si>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</si>
  <si>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</si>
  <si>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</si>
  <si>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</si>
  <si>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</si>
  <si>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</si>
  <si>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</si>
  <si>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</si>
  <si>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</si>
  <si>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</si>
  <si>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</si>
  <si>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</si>
  <si>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</si>
  <si>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</si>
  <si>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</si>
  <si>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</si>
  <si>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</si>
  <si>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</si>
  <si>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</si>
  <si>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</si>
  <si>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</si>
  <si>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</si>
  <si>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</si>
  <si>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</si>
  <si>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</si>
  <si>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</si>
  <si>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</si>
  <si>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</si>
  <si>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</si>
  <si>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</si>
  <si>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</si>
  <si>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</si>
  <si>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</si>
  <si>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</si>
  <si>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</si>
  <si>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</si>
  <si>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</si>
  <si>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</si>
  <si>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</si>
  <si>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</si>
  <si>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</si>
  <si>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</si>
  <si>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</si>
  <si>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</si>
  <si>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</si>
  <si>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</si>
  <si>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</si>
  <si>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</si>
  <si>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</si>
  <si>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</si>
  <si>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</si>
  <si>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</si>
  <si>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</si>
  <si>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</si>
  <si>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</si>
  <si>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</si>
  <si>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</si>
  <si>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</si>
  <si>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</si>
  <si>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</si>
  <si>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</si>
  <si>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</si>
  <si>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</si>
  <si>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</si>
  <si>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</si>
  <si>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</si>
  <si>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</si>
  <si>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</si>
  <si>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</si>
  <si>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</si>
  <si>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</si>
  <si>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</si>
  <si>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</si>
  <si>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</si>
  <si>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</si>
  <si>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</si>
  <si>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</si>
  <si>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</si>
  <si>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</si>
  <si>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</si>
  <si>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</si>
  <si>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</si>
  <si>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</si>
  <si>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</si>
  <si>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</si>
  <si>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</si>
  <si>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</si>
  <si>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</si>
  <si>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</si>
  <si>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</si>
  <si>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</si>
  <si>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</si>
  <si>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</si>
  <si>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</si>
  <si>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</si>
  <si>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</si>
  <si>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</si>
  <si>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</si>
  <si>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</si>
  <si>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</si>
  <si>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</si>
  <si>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</si>
  <si>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</si>
  <si>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</si>
  <si>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</si>
  <si>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</si>
  <si>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</si>
  <si>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</si>
  <si>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</si>
  <si>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</si>
  <si>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</si>
  <si>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</si>
  <si>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</si>
  <si>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</si>
  <si>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</si>
  <si>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</si>
  <si>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</si>
  <si>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</si>
  <si>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</si>
  <si>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</si>
  <si>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</si>
  <si>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</si>
  <si>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</si>
  <si>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</si>
  <si>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</si>
  <si>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</si>
  <si>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</si>
  <si>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</si>
  <si>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</si>
  <si>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</si>
  <si>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</si>
  <si>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</si>
  <si>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</si>
  <si>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</si>
  <si>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</si>
  <si>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</si>
  <si>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</si>
  <si>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</si>
  <si>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</si>
  <si>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</si>
  <si>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</si>
  <si>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</si>
  <si>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</si>
  <si>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</si>
  <si>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</si>
  <si>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</si>
  <si>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</si>
  <si>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</si>
  <si>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</si>
  <si>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</si>
  <si>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</si>
  <si>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</si>
  <si>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</si>
  <si>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</si>
  <si>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</si>
  <si>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</si>
  <si>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</si>
  <si>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</si>
  <si>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</si>
  <si>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</si>
  <si>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</si>
  <si>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</si>
  <si>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</si>
  <si>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</si>
  <si>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</si>
  <si>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</si>
  <si>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</si>
  <si>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</si>
  <si>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</si>
  <si>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</si>
  <si>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</si>
  <si>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</si>
  <si>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</si>
  <si>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</si>
  <si>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</si>
  <si>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</si>
  <si>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</si>
  <si>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</si>
  <si>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</si>
  <si>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</si>
  <si>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</si>
  <si>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</si>
  <si>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</si>
  <si>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</si>
  <si>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</si>
  <si>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</si>
  <si>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</si>
  <si>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</si>
  <si>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</si>
  <si>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</si>
  <si>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</si>
  <si>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</si>
  <si>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</si>
  <si>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</si>
  <si>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</si>
  <si>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</si>
  <si>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</si>
  <si>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</si>
  <si>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</si>
  <si>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</si>
  <si>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</si>
  <si>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</si>
  <si>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</si>
  <si>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</si>
  <si>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</si>
  <si>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</si>
  <si>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</si>
  <si>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</si>
  <si>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</si>
  <si>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</si>
  <si>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</si>
  <si>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</si>
  <si>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</si>
  <si>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</si>
  <si>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</si>
  <si>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</si>
  <si>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</si>
  <si>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</si>
  <si>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</si>
  <si>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</si>
  <si>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</si>
  <si>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</si>
  <si>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</si>
  <si>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</si>
  <si>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</si>
  <si>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</si>
  <si>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</si>
  <si>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</si>
  <si>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</si>
  <si>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</si>
  <si>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</si>
  <si>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</si>
  <si>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</si>
  <si>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</si>
  <si>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</si>
  <si>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</si>
  <si>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</si>
  <si>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</si>
  <si>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</si>
  <si>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</si>
  <si>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</si>
  <si>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</si>
  <si>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</si>
  <si>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</si>
  <si>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</si>
  <si>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</si>
  <si>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</si>
  <si>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</si>
  <si>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</si>
  <si>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</si>
  <si>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</si>
  <si>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</si>
  <si>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</si>
  <si>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</si>
  <si>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</si>
  <si>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</si>
  <si>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</si>
  <si>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</si>
  <si>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</si>
  <si>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</si>
  <si>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</si>
  <si>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</si>
  <si>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</si>
  <si>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</si>
  <si>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</si>
  <si>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</si>
  <si>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</si>
  <si>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</si>
  <si>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</si>
  <si>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</si>
  <si>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</si>
  <si>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</si>
  <si>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</si>
  <si>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</si>
  <si>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</si>
  <si>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</si>
  <si>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</si>
  <si>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</si>
  <si>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</si>
  <si>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</si>
  <si>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</si>
  <si>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</si>
  <si>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</si>
  <si>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</si>
  <si>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</si>
  <si>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</si>
  <si>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</si>
  <si>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</si>
  <si>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</si>
  <si>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</si>
  <si>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</si>
  <si>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</si>
  <si>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</si>
  <si>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</si>
  <si>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</si>
  <si>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</si>
  <si>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</si>
  <si>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</si>
  <si>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</si>
  <si>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</si>
  <si>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</si>
  <si>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</si>
  <si>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</si>
  <si>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</si>
  <si>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</si>
  <si>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</si>
  <si>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</si>
  <si>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</si>
  <si>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</si>
  <si>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</si>
  <si>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</si>
  <si>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</si>
  <si>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</si>
  <si>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</si>
  <si>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</si>
  <si>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</si>
  <si>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</si>
  <si>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</si>
  <si>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</si>
  <si>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</si>
  <si>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</si>
  <si>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</si>
  <si>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</si>
  <si>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</si>
  <si>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</si>
  <si>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</si>
  <si>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</si>
  <si>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</si>
  <si>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</si>
  <si>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</si>
  <si>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</si>
  <si>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</si>
  <si>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</si>
  <si>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</si>
  <si>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</si>
  <si>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</si>
  <si>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</si>
  <si>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</si>
  <si>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</si>
  <si>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</si>
  <si>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</si>
  <si>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</si>
  <si>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</si>
  <si>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</si>
  <si>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</si>
  <si>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</si>
  <si>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</si>
  <si>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</si>
  <si>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</si>
  <si>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</si>
  <si>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</si>
  <si>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</si>
  <si>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</si>
  <si>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</si>
  <si>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</si>
  <si>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</si>
  <si>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</si>
  <si>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</si>
  <si>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</si>
  <si>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</si>
  <si>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</si>
  <si>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</si>
  <si>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</si>
  <si>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</si>
  <si>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</si>
  <si>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</si>
  <si>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</si>
  <si>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</si>
  <si>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</si>
  <si>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</si>
  <si>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</si>
  <si>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</si>
  <si>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</si>
  <si>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</si>
  <si>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</si>
  <si>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</si>
  <si>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</si>
  <si>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</si>
  <si>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</si>
  <si>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</si>
  <si>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</si>
  <si>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</si>
  <si>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</si>
  <si>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</si>
  <si>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</si>
  <si>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</si>
  <si>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</si>
  <si>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</si>
  <si>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</si>
  <si>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</si>
  <si>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</si>
  <si>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</si>
  <si>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</si>
  <si>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</si>
  <si>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</si>
  <si>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</si>
  <si>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</si>
  <si>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</si>
  <si>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</si>
  <si>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</si>
  <si>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</si>
  <si>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</si>
  <si>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</si>
  <si>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</si>
  <si>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</si>
  <si>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</si>
  <si>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</si>
  <si>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</si>
  <si>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</si>
  <si>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</si>
  <si>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</si>
  <si>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</si>
  <si>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</si>
  <si>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</si>
  <si>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</si>
  <si>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</si>
  <si>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</si>
  <si>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</si>
  <si>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</si>
  <si>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</si>
  <si>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</si>
  <si>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</si>
  <si>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</si>
  <si>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</si>
  <si>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</si>
  <si>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</si>
  <si>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</si>
  <si>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</si>
  <si>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</si>
  <si>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</si>
  <si>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</si>
  <si>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</si>
  <si>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</si>
  <si>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</si>
  <si>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</si>
  <si>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</si>
  <si>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</si>
  <si>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</si>
  <si>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</si>
  <si>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</si>
  <si>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</si>
  <si>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</si>
  <si>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</si>
  <si>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</si>
  <si>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</si>
  <si>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</si>
  <si>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</si>
  <si>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</si>
  <si>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</si>
  <si>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</si>
  <si>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</si>
  <si>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</si>
  <si>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</si>
  <si>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</si>
  <si>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</si>
  <si>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</si>
  <si>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</si>
  <si>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</si>
  <si>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</si>
  <si>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</si>
  <si>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</si>
  <si>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</si>
  <si>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</si>
  <si>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</si>
  <si>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</si>
  <si>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</si>
  <si>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</si>
  <si>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</si>
  <si>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</si>
  <si>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</si>
  <si>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</si>
  <si>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</si>
  <si>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</si>
  <si>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</si>
  <si>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</si>
  <si>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</si>
  <si>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</si>
  <si>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</si>
  <si>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</si>
  <si>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</si>
  <si>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</si>
  <si>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</si>
  <si>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</si>
  <si>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</si>
  <si>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</si>
  <si>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</si>
  <si>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</si>
  <si>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</si>
  <si>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</si>
  <si>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</si>
  <si>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</si>
  <si>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</si>
  <si>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</si>
  <si>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</si>
  <si>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</si>
  <si>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</si>
  <si>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</si>
  <si>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</si>
  <si>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</si>
  <si>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</si>
  <si>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</si>
  <si>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</si>
  <si>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</si>
  <si>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</si>
  <si>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</si>
  <si>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</si>
  <si>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</si>
  <si>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</si>
  <si>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</si>
  <si>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</si>
  <si>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</si>
  <si>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</si>
  <si>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</si>
  <si>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</si>
  <si>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</si>
  <si>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</si>
  <si>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</si>
  <si>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</si>
  <si>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</si>
  <si>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</si>
  <si>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</si>
  <si>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</si>
  <si>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</si>
  <si>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</si>
  <si>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</si>
  <si>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</si>
  <si>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</si>
  <si>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</si>
  <si>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</si>
  <si>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</si>
  <si>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</si>
  <si>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</si>
  <si>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</si>
  <si>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</si>
  <si>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</si>
  <si>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</si>
  <si>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</si>
  <si>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</si>
  <si>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</si>
  <si>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</si>
  <si>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</si>
  <si>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</si>
  <si>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</si>
  <si>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</si>
  <si>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</si>
  <si>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</si>
  <si>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</si>
  <si>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</si>
  <si>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</si>
  <si>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</si>
  <si>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</si>
  <si>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</si>
  <si>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</si>
  <si>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</si>
  <si>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</si>
  <si>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</si>
  <si>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</si>
  <si>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</si>
  <si>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</si>
  <si>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</si>
  <si>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</si>
  <si>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</si>
  <si>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</si>
  <si>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</si>
  <si>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</si>
  <si>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</si>
  <si>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</si>
  <si>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</si>
  <si>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</si>
  <si>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</si>
  <si>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</si>
  <si>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</si>
  <si>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</si>
  <si>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</si>
  <si>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</si>
  <si>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</si>
  <si>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</si>
  <si>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</si>
  <si>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</si>
  <si>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</si>
  <si>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</si>
  <si>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</si>
  <si>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</si>
  <si>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</si>
  <si>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</si>
  <si>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</si>
  <si>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</si>
  <si>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</si>
  <si>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</si>
  <si>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</si>
  <si>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</si>
  <si>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</si>
  <si>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</si>
  <si>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</si>
  <si>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</si>
  <si>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</si>
  <si>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</si>
  <si>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</si>
  <si>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</si>
  <si>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</si>
  <si>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</si>
  <si>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</si>
  <si>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</si>
  <si>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</si>
  <si>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</si>
  <si>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</si>
  <si>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</si>
  <si>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</si>
  <si>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</si>
  <si>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</si>
  <si>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</si>
  <si>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</si>
  <si>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</si>
  <si>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</si>
  <si>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</si>
  <si>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</si>
  <si>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</si>
  <si>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</si>
  <si>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</si>
  <si>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</si>
  <si>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</si>
  <si>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</si>
  <si>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</si>
  <si>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</si>
  <si>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</si>
  <si>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</si>
  <si>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</si>
  <si>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</si>
  <si>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</si>
  <si>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</si>
  <si>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</si>
  <si>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</si>
  <si>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</si>
  <si>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</si>
  <si>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</si>
  <si>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</si>
  <si>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</si>
  <si>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</si>
  <si>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</si>
  <si>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</si>
  <si>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</si>
  <si>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</si>
  <si>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</si>
  <si>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</si>
  <si>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</si>
  <si>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</si>
  <si>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</si>
  <si>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</si>
  <si>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</si>
  <si>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</si>
  <si>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</si>
  <si>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</si>
  <si>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</si>
  <si>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</si>
  <si>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</si>
  <si>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</si>
  <si>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</si>
  <si>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</si>
  <si>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</si>
  <si>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</si>
  <si>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</si>
  <si>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</si>
  <si>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</si>
  <si>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</si>
  <si>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</si>
  <si>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</si>
  <si>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</si>
  <si>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</si>
  <si>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</si>
  <si>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</si>
  <si>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</si>
  <si>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</si>
  <si>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</si>
  <si>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</si>
  <si>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</si>
  <si>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</si>
  <si>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</si>
  <si>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</si>
  <si>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</si>
  <si>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</si>
  <si>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</si>
  <si>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</si>
  <si>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</si>
  <si>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</si>
  <si>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</si>
  <si>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</si>
  <si>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</si>
  <si>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</si>
  <si>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</si>
  <si>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</si>
  <si>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</si>
  <si>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</si>
  <si>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</si>
  <si>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</si>
  <si>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</si>
  <si>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</si>
  <si>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</si>
  <si>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</si>
  <si>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</si>
  <si>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</si>
  <si>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</si>
  <si>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</si>
  <si>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</si>
  <si>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</si>
  <si>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</si>
  <si>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</si>
  <si>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</si>
  <si>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</si>
  <si>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</si>
  <si>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</si>
  <si>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</si>
  <si>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</si>
  <si>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</si>
  <si>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</si>
  <si>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</si>
  <si>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</si>
  <si>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</si>
  <si>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</si>
  <si>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</si>
  <si>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</si>
  <si>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</si>
  <si>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</si>
  <si>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</si>
  <si>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</si>
  <si>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</si>
  <si>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</si>
  <si>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</si>
  <si>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</si>
  <si>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</si>
  <si>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</si>
  <si>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</si>
  <si>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</si>
  <si>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</si>
  <si>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</si>
  <si>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</si>
  <si>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</si>
  <si>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</si>
  <si>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</si>
  <si>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</si>
  <si>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</si>
  <si>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</si>
  <si>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</si>
  <si>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</si>
  <si>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</si>
  <si>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</si>
  <si>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</si>
  <si>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</si>
  <si>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</si>
  <si>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</si>
  <si>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</si>
  <si>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</si>
  <si>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</si>
  <si>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</si>
  <si>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</si>
  <si>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</si>
  <si>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</si>
  <si>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</si>
  <si>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</si>
  <si>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</si>
  <si>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</si>
  <si>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</si>
  <si>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</si>
  <si>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</si>
  <si>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</si>
  <si>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</si>
  <si>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</si>
  <si>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</si>
  <si>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</si>
  <si>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</si>
  <si>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</si>
  <si>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</si>
  <si>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</si>
  <si>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</si>
  <si>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</si>
  <si>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</si>
  <si>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</si>
  <si>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</si>
  <si>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</si>
  <si>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</si>
  <si>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</si>
  <si>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</si>
  <si>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</si>
  <si>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</si>
  <si>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</si>
  <si>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</si>
  <si>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</si>
  <si>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</si>
  <si>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</si>
  <si>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</si>
  <si>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</si>
  <si>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</si>
  <si>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</si>
  <si>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</si>
  <si>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</si>
  <si>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</si>
  <si>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</si>
  <si>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</si>
  <si>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</si>
  <si>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</si>
  <si>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</si>
  <si>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</si>
  <si>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</si>
  <si>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</si>
  <si>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</si>
  <si>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</si>
  <si>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</si>
  <si>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</si>
  <si>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</si>
  <si>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</si>
  <si>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</si>
  <si>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</si>
  <si>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</si>
  <si>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</si>
  <si>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</si>
  <si>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</si>
  <si>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</si>
  <si>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</si>
  <si>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</si>
  <si>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</si>
  <si>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</si>
  <si>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</si>
  <si>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</si>
  <si>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</si>
  <si>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</si>
  <si>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</si>
  <si>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</si>
  <si>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</si>
  <si>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</si>
  <si>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</si>
  <si>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</si>
  <si>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</si>
  <si>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</si>
  <si>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</si>
  <si>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</si>
  <si>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</si>
  <si>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</si>
  <si>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</si>
  <si>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</si>
  <si>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</si>
  <si>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</si>
  <si>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</si>
  <si>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</si>
  <si>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</si>
  <si>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</si>
  <si>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</si>
  <si>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</si>
  <si>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</si>
  <si>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</si>
  <si>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</si>
  <si>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</si>
  <si>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</si>
  <si>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</si>
  <si>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</si>
  <si>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</si>
  <si>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</si>
  <si>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</si>
  <si>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</si>
  <si>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</si>
  <si>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</si>
  <si>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</si>
  <si>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</si>
  <si>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</si>
  <si>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</si>
  <si>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</si>
  <si>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</si>
  <si>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</si>
  <si>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</si>
  <si>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</si>
  <si>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</si>
  <si>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</si>
  <si>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</si>
  <si>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</si>
  <si>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</si>
  <si>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</si>
  <si>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</si>
  <si>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</si>
  <si>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</si>
  <si>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</si>
  <si>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</si>
  <si>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</si>
  <si>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</si>
  <si>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</si>
  <si>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</si>
  <si>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</si>
  <si>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</si>
  <si>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</si>
  <si>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</si>
  <si>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</si>
  <si>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</si>
  <si>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</si>
  <si>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</si>
  <si>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</si>
  <si>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</si>
  <si>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</si>
  <si>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</si>
  <si>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</si>
  <si>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</si>
  <si>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</si>
  <si>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</si>
  <si>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</si>
  <si>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</si>
  <si>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</si>
  <si>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</si>
  <si>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</si>
  <si>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</si>
  <si>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</si>
  <si>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</si>
  <si>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</si>
  <si>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</si>
  <si>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</si>
  <si>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</si>
  <si>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</si>
  <si>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</si>
  <si>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</si>
  <si>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</si>
  <si>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</si>
  <si>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</si>
  <si>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</si>
  <si>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</si>
  <si>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</si>
  <si>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</si>
  <si>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</si>
  <si>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</si>
  <si>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</si>
  <si>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</si>
  <si>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</si>
  <si>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</si>
  <si>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</si>
  <si>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</si>
  <si>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</si>
  <si>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</si>
  <si>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</si>
  <si>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</si>
  <si>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</si>
  <si>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</si>
  <si>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</si>
  <si>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</si>
  <si>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</si>
  <si>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</si>
  <si>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</si>
  <si>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</si>
  <si>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</si>
  <si>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</si>
  <si>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</si>
  <si>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</si>
  <si>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</si>
  <si>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</si>
  <si>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</si>
  <si>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</si>
  <si>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</si>
  <si>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</si>
  <si>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</si>
  <si>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</si>
  <si>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</si>
  <si>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</si>
  <si>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</si>
  <si>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</si>
  <si>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</si>
  <si>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</si>
  <si>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</si>
  <si>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</si>
  <si>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</si>
  <si>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</si>
  <si>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</si>
  <si>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</si>
  <si>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</si>
  <si>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</si>
  <si>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</si>
  <si>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</si>
  <si>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</si>
  <si>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</si>
  <si>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</si>
  <si>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</si>
  <si>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</si>
  <si>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</si>
  <si>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</si>
  <si>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</si>
  <si>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</si>
  <si>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</si>
  <si>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</si>
  <si>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</si>
  <si>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</si>
  <si>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</si>
  <si>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</si>
  <si>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</si>
  <si>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</si>
  <si>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</si>
  <si>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</si>
  <si>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</si>
  <si>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</si>
  <si>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</si>
  <si>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</si>
  <si>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</si>
  <si>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</si>
  <si>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</si>
  <si>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</si>
  <si>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</si>
  <si>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</si>
  <si>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</si>
  <si>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</si>
  <si>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</si>
  <si>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</si>
  <si>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</si>
  <si>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</si>
  <si>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</si>
  <si>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</si>
  <si>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</si>
  <si>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</si>
  <si>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</si>
  <si>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</si>
  <si>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</si>
  <si>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</si>
  <si>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</si>
  <si>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</si>
  <si>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</si>
  <si>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</si>
  <si>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</si>
  <si>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</si>
  <si>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</si>
  <si>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</si>
  <si>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</si>
  <si>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</si>
  <si>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</si>
  <si>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</si>
  <si>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</si>
  <si>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</si>
  <si>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</si>
  <si>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</si>
  <si>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</si>
  <si>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</si>
  <si>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</si>
  <si>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</si>
  <si>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</si>
  <si>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</si>
  <si>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</si>
  <si>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</si>
  <si>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</si>
  <si>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</si>
  <si>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</si>
  <si>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</si>
  <si>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</si>
  <si>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</si>
  <si>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</si>
  <si>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</si>
  <si>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</si>
  <si>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</si>
  <si>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</si>
  <si>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</si>
  <si>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</si>
  <si>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</si>
  <si>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</si>
  <si>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</si>
  <si>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</si>
  <si>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</si>
  <si>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</si>
  <si>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</si>
  <si>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</si>
  <si>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</si>
  <si>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</si>
  <si>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</si>
  <si>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</si>
  <si>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</si>
  <si>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</si>
  <si>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</si>
  <si>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</si>
  <si>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</si>
  <si>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</si>
  <si>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</si>
  <si>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</si>
  <si>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</si>
  <si>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</si>
  <si>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</si>
  <si>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</si>
  <si>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</si>
  <si>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</si>
  <si>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</si>
  <si>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</si>
  <si>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</si>
  <si>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</si>
  <si>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</si>
  <si>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</si>
  <si>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</si>
  <si>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</si>
  <si>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</si>
  <si>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</si>
  <si>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</si>
  <si>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</si>
  <si>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</si>
  <si>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</si>
  <si>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</si>
  <si>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</si>
  <si>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</si>
  <si>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</si>
  <si>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</si>
  <si>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</si>
  <si>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</si>
  <si>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</si>
  <si>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</si>
  <si>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</si>
  <si>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</si>
  <si>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</si>
  <si>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</si>
  <si>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</si>
  <si>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</si>
  <si>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</si>
  <si>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</si>
  <si>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</si>
  <si>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</si>
  <si>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</si>
  <si>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</si>
  <si>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</si>
  <si>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</si>
  <si>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</si>
  <si>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</si>
  <si>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</si>
  <si>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</si>
  <si>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</si>
  <si>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</si>
  <si>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</si>
  <si>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</si>
  <si>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</si>
  <si>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</si>
  <si>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</si>
  <si>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</si>
  <si>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</si>
  <si>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</si>
  <si>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</si>
  <si>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</si>
  <si>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</si>
  <si>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</si>
  <si>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</si>
  <si>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</si>
  <si>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</si>
  <si>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</si>
  <si>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</si>
  <si>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</si>
  <si>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</si>
  <si>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</si>
  <si>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</si>
  <si>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</si>
  <si>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</si>
  <si>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</si>
  <si>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</si>
  <si>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</si>
  <si>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</si>
  <si>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</si>
  <si>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</si>
  <si>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</si>
  <si>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</si>
  <si>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</si>
  <si>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</si>
  <si>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</si>
  <si>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</si>
  <si>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</si>
  <si>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</si>
  <si>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</si>
  <si>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</si>
  <si>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</si>
  <si>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</si>
  <si>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</si>
  <si>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</si>
  <si>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</si>
  <si>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</si>
  <si>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</si>
  <si>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</si>
  <si>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</si>
  <si>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</si>
  <si>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</si>
  <si>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</si>
  <si>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</si>
  <si>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</si>
  <si>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</si>
  <si>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</si>
  <si>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</si>
  <si>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</si>
  <si>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</si>
  <si>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</si>
  <si>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</si>
  <si>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</si>
  <si>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</si>
  <si>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</si>
  <si>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</si>
  <si>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</si>
  <si>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</si>
  <si>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</si>
  <si>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</si>
  <si>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</si>
  <si>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</si>
  <si>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</si>
  <si>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</si>
  <si>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</si>
  <si>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</si>
  <si>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</si>
  <si>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</si>
  <si>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</si>
  <si>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</si>
  <si>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</si>
  <si>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</si>
  <si>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</si>
  <si>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</si>
  <si>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</si>
  <si>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</si>
  <si>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</si>
  <si>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</si>
  <si>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</si>
  <si>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</si>
  <si>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</si>
  <si>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</si>
  <si>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</si>
  <si>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</si>
  <si>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</si>
  <si>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</si>
  <si>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</si>
  <si>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</si>
  <si>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</si>
  <si>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</si>
  <si>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</si>
  <si>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</si>
  <si>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</si>
  <si>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</si>
  <si>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</si>
  <si>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</si>
  <si>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</si>
  <si>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</si>
  <si>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</si>
  <si>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</si>
  <si>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</si>
  <si>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</si>
  <si>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</si>
  <si>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</si>
  <si>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</si>
  <si>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</si>
  <si>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</si>
  <si>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</si>
  <si>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</si>
  <si>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</si>
  <si>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</si>
  <si>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</si>
  <si>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</si>
  <si>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</si>
  <si>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</si>
  <si>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</si>
  <si>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</si>
  <si>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</si>
  <si>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</si>
  <si>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</si>
  <si>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</si>
  <si>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</si>
  <si>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</si>
  <si>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</si>
  <si>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</si>
  <si>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</si>
  <si>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</si>
  <si>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</si>
  <si>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</si>
  <si>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</si>
  <si>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</si>
  <si>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</si>
  <si>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</si>
  <si>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</si>
  <si>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</si>
  <si>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</si>
  <si>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</si>
  <si>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</si>
  <si>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</si>
  <si>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</si>
  <si>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</si>
  <si>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</si>
  <si>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</si>
  <si>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</si>
  <si>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</si>
  <si>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</si>
  <si>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</si>
  <si>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</si>
  <si>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</si>
  <si>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</si>
  <si>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</si>
  <si>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</si>
  <si>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</si>
  <si>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</si>
  <si>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</si>
  <si>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</si>
  <si>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</si>
  <si>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</si>
  <si>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</si>
  <si>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</si>
  <si>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</si>
  <si>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</si>
  <si>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</si>
  <si>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</si>
  <si>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</si>
  <si>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</si>
  <si>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</si>
  <si>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</si>
  <si>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</si>
  <si>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</si>
  <si>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</si>
  <si>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</si>
  <si>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</si>
  <si>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</si>
  <si>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</si>
  <si>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</si>
  <si>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</si>
  <si>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</si>
  <si>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</si>
  <si>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</si>
  <si>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</si>
  <si>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</si>
  <si>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</si>
  <si>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</si>
  <si>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</si>
  <si>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</si>
  <si>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</si>
  <si>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</si>
  <si>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</si>
  <si>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</si>
  <si>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</si>
  <si>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</si>
  <si>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</si>
  <si>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</si>
  <si>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</si>
  <si>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</si>
  <si>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</si>
  <si>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</si>
  <si>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</si>
  <si>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</si>
  <si>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</si>
  <si>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</si>
  <si>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</si>
  <si>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</si>
  <si>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</si>
  <si>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</si>
  <si>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</si>
  <si>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</si>
  <si>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</si>
  <si>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</si>
  <si>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</si>
  <si>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</si>
  <si>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</si>
  <si>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</si>
  <si>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</si>
  <si>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</si>
  <si>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</si>
  <si>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</si>
  <si>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</si>
  <si>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</si>
  <si>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</si>
  <si>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</si>
  <si>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</si>
  <si>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</si>
  <si>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</si>
  <si>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</si>
  <si>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</si>
  <si>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</si>
  <si>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</si>
  <si>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</si>
  <si>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</si>
  <si>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</si>
  <si>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</si>
  <si>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</si>
  <si>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</si>
  <si>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</si>
  <si>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</si>
  <si>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</si>
  <si>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</si>
  <si>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</si>
  <si>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</si>
  <si>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</si>
  <si>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</si>
  <si>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</si>
  <si>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</si>
  <si>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</si>
  <si>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</si>
  <si>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</si>
  <si>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</si>
  <si>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</si>
  <si>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</si>
  <si>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</si>
  <si>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</si>
  <si>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</si>
  <si>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</si>
  <si>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</si>
  <si>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</si>
  <si>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</si>
  <si>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</si>
  <si>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</si>
  <si>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</si>
  <si>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</si>
  <si>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</si>
  <si>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</si>
  <si>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</si>
  <si>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</si>
  <si>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</si>
  <si>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</si>
  <si>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</si>
  <si>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</si>
  <si>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</si>
  <si>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</si>
  <si>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</si>
  <si>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</si>
  <si>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</si>
  <si>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</si>
  <si>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</si>
  <si>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</si>
  <si>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</si>
  <si>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</si>
  <si>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</si>
  <si>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</si>
  <si>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</si>
  <si>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</si>
  <si>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</si>
  <si>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</si>
  <si>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</si>
  <si>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</si>
  <si>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</si>
  <si>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</si>
  <si>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</si>
  <si>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</si>
  <si>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</si>
  <si>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</si>
  <si>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</si>
  <si>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</si>
  <si>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</si>
  <si>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</si>
  <si>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</si>
  <si>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</si>
  <si>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</si>
  <si>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</si>
  <si>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</si>
  <si>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</si>
  <si>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</si>
  <si>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</si>
  <si>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</si>
  <si>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</si>
  <si>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</si>
  <si>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</si>
  <si>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</si>
  <si>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</si>
  <si>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</si>
  <si>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</si>
  <si>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</si>
  <si>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</si>
  <si>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</si>
  <si>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</si>
  <si>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</si>
  <si>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</si>
  <si>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</si>
  <si>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</si>
  <si>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</si>
  <si>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</si>
  <si>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</si>
  <si>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</si>
  <si>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</si>
  <si>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</si>
  <si>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</si>
  <si>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</si>
  <si>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</si>
  <si>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</si>
  <si>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</si>
  <si>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</si>
  <si>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</si>
  <si>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</si>
  <si>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</si>
  <si>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</si>
  <si>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</si>
  <si>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</si>
  <si>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</si>
  <si>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</si>
  <si>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</si>
  <si>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</si>
  <si>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</si>
  <si>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</si>
  <si>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</si>
  <si>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</si>
  <si>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</si>
  <si>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</si>
  <si>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</si>
  <si>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</si>
  <si>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</si>
  <si>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</si>
  <si>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</si>
  <si>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</si>
  <si>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</si>
  <si>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</si>
  <si>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</si>
  <si>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</si>
  <si>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</si>
  <si>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</si>
  <si>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</si>
  <si>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</si>
  <si>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</si>
  <si>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</si>
  <si>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</si>
  <si>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</si>
  <si>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</si>
  <si>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</si>
  <si>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</si>
  <si>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</si>
  <si>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</si>
  <si>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</si>
  <si>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</si>
  <si>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</si>
  <si>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</si>
  <si>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</si>
  <si>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</si>
  <si>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</si>
  <si>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</si>
  <si>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</si>
  <si>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</si>
  <si>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</si>
  <si>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</si>
  <si>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</si>
  <si>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</si>
  <si>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</si>
  <si>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</si>
  <si>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</si>
  <si>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</si>
  <si>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</si>
  <si>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</si>
  <si>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</si>
  <si>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</si>
  <si>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</si>
  <si>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</si>
  <si>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</si>
  <si>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</si>
  <si>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</si>
  <si>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</si>
  <si>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</si>
  <si>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</si>
  <si>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</si>
  <si>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</si>
  <si>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</si>
  <si>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</si>
  <si>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</si>
  <si>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</si>
  <si>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</si>
  <si>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</si>
  <si>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</si>
  <si>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</si>
  <si>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</si>
  <si>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</si>
  <si>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</si>
  <si>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</si>
  <si>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</si>
  <si>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</si>
  <si>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</si>
  <si>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</si>
  <si>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</si>
  <si>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</si>
  <si>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</si>
  <si>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</si>
  <si>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</si>
  <si>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</si>
  <si>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</si>
  <si>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</si>
  <si>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</si>
  <si>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</si>
  <si>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</si>
  <si>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</si>
  <si>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</si>
  <si>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</si>
  <si>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</si>
  <si>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</si>
  <si>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</si>
  <si>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</si>
  <si>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</si>
  <si>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</si>
  <si>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</si>
  <si>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</si>
  <si>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</si>
  <si>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</si>
  <si>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</si>
  <si>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</si>
  <si>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</si>
  <si>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</si>
  <si>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</si>
  <si>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</si>
  <si>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</si>
  <si>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</si>
  <si>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</si>
  <si>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</si>
  <si>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</si>
  <si>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</si>
  <si>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</si>
  <si>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</si>
  <si>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</si>
  <si>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</si>
  <si>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</si>
  <si>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</si>
  <si>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</si>
  <si>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</si>
  <si>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</si>
  <si>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</si>
  <si>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</si>
  <si>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</si>
  <si>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</si>
  <si>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</si>
  <si>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</si>
  <si>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</si>
  <si>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</si>
  <si>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</si>
  <si>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</si>
  <si>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</si>
  <si>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</si>
  <si>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</si>
  <si>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</si>
  <si>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</si>
  <si>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</si>
  <si>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</si>
  <si>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</si>
  <si>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</si>
  <si>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</si>
  <si>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</si>
  <si>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</si>
  <si>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</si>
  <si>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</si>
  <si>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</si>
  <si>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</si>
  <si>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</si>
  <si>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</si>
  <si>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</si>
  <si>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</si>
  <si>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</si>
  <si>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</si>
  <si>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</si>
  <si>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</si>
  <si>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</si>
  <si>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</si>
  <si>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</si>
  <si>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</si>
  <si>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</si>
  <si>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</si>
  <si>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</si>
  <si>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</si>
  <si>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</si>
  <si>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</si>
  <si>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</si>
  <si>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</si>
  <si>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</si>
  <si>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</si>
  <si>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</si>
  <si>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</si>
  <si>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</si>
  <si>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</si>
  <si>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</si>
  <si>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</si>
  <si>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</si>
  <si>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</si>
  <si>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</si>
  <si>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</si>
  <si>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</si>
  <si>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</si>
  <si>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</si>
  <si>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</si>
  <si>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</si>
  <si>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</si>
  <si>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</si>
  <si>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</si>
  <si>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</si>
  <si>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</si>
  <si>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</si>
  <si>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</si>
  <si>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</si>
  <si>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</si>
  <si>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</si>
  <si>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</si>
  <si>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</si>
  <si>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</si>
  <si>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</si>
  <si>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</si>
  <si>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</si>
  <si>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</si>
  <si>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</si>
  <si>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</si>
  <si>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</si>
  <si>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</si>
  <si>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</si>
  <si>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</si>
  <si>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</si>
  <si>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</si>
  <si>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</si>
  <si>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</si>
  <si>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</si>
  <si>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</si>
  <si>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</si>
  <si>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</si>
  <si>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</si>
  <si>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</si>
  <si>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</si>
  <si>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</si>
  <si>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</si>
  <si>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</si>
  <si>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</si>
  <si>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</si>
  <si>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</si>
  <si>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</si>
  <si>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</si>
  <si>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</si>
  <si>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</si>
  <si>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</si>
  <si>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</si>
  <si>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</si>
  <si>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</si>
  <si>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</si>
  <si>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</si>
  <si>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</si>
  <si>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</si>
  <si>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</si>
  <si>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</si>
  <si>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</si>
  <si>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</si>
  <si>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</si>
  <si>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</si>
  <si>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</si>
  <si>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</si>
  <si>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</si>
  <si>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</si>
  <si>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</si>
  <si>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</si>
  <si>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</si>
  <si>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</si>
  <si>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</si>
  <si>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</si>
  <si>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</si>
  <si>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</si>
  <si>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</si>
  <si>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</si>
  <si>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</si>
  <si>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</si>
  <si>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</si>
  <si>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</si>
  <si>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</si>
  <si>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</si>
  <si>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</si>
  <si>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</si>
  <si>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</si>
  <si>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</si>
  <si>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</si>
  <si>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</si>
  <si>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</si>
  <si>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</si>
  <si>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</si>
  <si>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</si>
  <si>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</si>
  <si>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</si>
  <si>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</si>
  <si>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</si>
  <si>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</si>
  <si>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</si>
  <si>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</si>
  <si>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</si>
  <si>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</si>
  <si>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</si>
  <si>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</si>
  <si>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</si>
  <si>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</si>
  <si>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</si>
  <si>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</si>
  <si>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</si>
  <si>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</si>
  <si>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</si>
  <si>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</si>
  <si>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</si>
  <si>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</si>
  <si>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</si>
  <si>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</si>
  <si>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</si>
  <si>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</si>
  <si>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</si>
  <si>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</si>
  <si>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</si>
  <si>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</si>
  <si>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</si>
  <si>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</si>
  <si>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</si>
  <si>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</si>
  <si>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</si>
  <si>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</si>
  <si>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</si>
  <si>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</si>
  <si>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</si>
  <si>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</si>
  <si>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</si>
  <si>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</si>
  <si>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</si>
  <si>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</si>
  <si>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</si>
  <si>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</si>
  <si>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</si>
  <si>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</si>
  <si>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</si>
  <si>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</si>
  <si>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</si>
  <si>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</si>
  <si>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</si>
  <si>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</si>
  <si>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</si>
  <si>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</si>
  <si>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</si>
  <si>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</si>
  <si>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</si>
  <si>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</si>
  <si>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</si>
  <si>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</si>
  <si>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</si>
  <si>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</si>
  <si>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</si>
  <si>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</si>
  <si>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</si>
  <si>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</si>
  <si>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</si>
  <si>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</si>
  <si>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</si>
  <si>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</si>
  <si>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</si>
  <si>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</si>
  <si>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</si>
  <si>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</si>
  <si>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</si>
  <si>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</si>
  <si>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</si>
  <si>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</si>
  <si>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</si>
  <si>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</si>
  <si>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</si>
  <si>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</si>
  <si>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</si>
  <si>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</si>
  <si>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</si>
  <si>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</si>
  <si>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</si>
  <si>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</si>
  <si>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</si>
  <si>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</si>
  <si>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</si>
  <si>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</si>
  <si>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</si>
  <si>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</si>
  <si>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</si>
  <si>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</si>
  <si>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</si>
  <si>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</si>
  <si>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</si>
  <si>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</si>
  <si>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</si>
  <si>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</si>
  <si>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</si>
  <si>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</si>
  <si>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</si>
  <si>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</si>
  <si>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</si>
  <si>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</si>
  <si>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</si>
  <si>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</si>
  <si>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</si>
  <si>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</si>
  <si>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</si>
  <si>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</si>
  <si>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</si>
  <si>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</si>
  <si>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</si>
  <si>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</si>
  <si>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</si>
  <si>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</si>
  <si>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</si>
  <si>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</si>
  <si>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</si>
  <si>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</si>
  <si>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</si>
  <si>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</si>
  <si>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</si>
  <si>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</si>
  <si>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</si>
  <si>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</si>
  <si>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</si>
  <si>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</si>
  <si>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</si>
  <si>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</si>
  <si>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</si>
  <si>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</si>
  <si>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</si>
  <si>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</si>
  <si>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</si>
  <si>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</si>
  <si>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</si>
  <si>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</si>
  <si>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</si>
  <si>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</si>
  <si>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</si>
  <si>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</si>
  <si>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</si>
  <si>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</si>
  <si>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</si>
  <si>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</si>
  <si>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</si>
  <si>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</si>
  <si>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</si>
  <si>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</si>
  <si>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</si>
  <si>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</si>
  <si>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</si>
  <si>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</si>
  <si>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</si>
  <si>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</si>
  <si>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</si>
  <si>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</si>
  <si>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</si>
  <si>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</si>
  <si>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</si>
  <si>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</si>
  <si>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</si>
  <si>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</si>
  <si>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</si>
  <si>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</si>
  <si>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</si>
  <si>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</si>
  <si>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</si>
  <si>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</si>
  <si>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</si>
  <si>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</si>
  <si>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</si>
  <si>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</si>
  <si>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</si>
  <si>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</si>
  <si>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</si>
  <si>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</si>
  <si>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</si>
  <si>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</si>
  <si>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</si>
  <si>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</si>
  <si>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</si>
  <si>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</si>
  <si>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</si>
  <si>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</si>
  <si>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</si>
  <si>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</si>
  <si>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</si>
  <si>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</si>
  <si>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</si>
  <si>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</si>
  <si>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</si>
  <si>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</si>
  <si>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</si>
  <si>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</si>
  <si>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</si>
  <si>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</si>
  <si>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</si>
  <si>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</si>
  <si>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</si>
  <si>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</si>
  <si>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</si>
  <si>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</si>
  <si>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</si>
  <si>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</si>
  <si>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</si>
  <si>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</si>
  <si>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</si>
  <si>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</si>
  <si>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</si>
  <si>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</si>
  <si>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</si>
  <si>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</si>
  <si>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</si>
  <si>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</si>
  <si>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</si>
  <si>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</si>
  <si>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</si>
  <si>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</si>
  <si>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</si>
  <si>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</si>
  <si>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</si>
  <si>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</si>
  <si>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</si>
  <si>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</si>
  <si>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</si>
  <si>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</si>
  <si>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</si>
  <si>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</si>
  <si>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</si>
  <si>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</si>
  <si>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</si>
  <si>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</si>
  <si>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</si>
  <si>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</si>
  <si>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</si>
  <si>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</si>
  <si>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</si>
  <si>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</si>
  <si>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</si>
  <si>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</si>
  <si>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</si>
  <si>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</si>
  <si>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</si>
  <si>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</si>
  <si>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</si>
  <si>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</si>
  <si>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</si>
  <si>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</si>
  <si>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</si>
  <si>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</si>
  <si>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</si>
  <si>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</si>
  <si>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</si>
  <si>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</si>
  <si>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</si>
  <si>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</si>
  <si>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</si>
  <si>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</si>
  <si>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</si>
  <si>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</si>
  <si>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</si>
  <si>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</si>
  <si>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</si>
  <si>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</si>
  <si>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</si>
  <si>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</si>
  <si>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</si>
  <si>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</si>
  <si>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</si>
  <si>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</si>
  <si>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</si>
  <si>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</si>
  <si>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</si>
  <si>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</si>
  <si>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</si>
  <si>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</si>
  <si>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</si>
  <si>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</si>
  <si>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</si>
  <si>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</si>
  <si>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</si>
  <si>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</si>
  <si>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</si>
  <si>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</si>
  <si>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</si>
  <si>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</si>
  <si>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</si>
  <si>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</si>
  <si>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</si>
  <si>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</si>
  <si>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</si>
  <si>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</si>
  <si>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</si>
  <si>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</si>
  <si>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</si>
  <si>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</si>
  <si>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</si>
  <si>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</si>
  <si>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</si>
  <si>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</si>
  <si>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</si>
  <si>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</si>
  <si>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</si>
  <si>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</si>
  <si>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</si>
  <si>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</si>
  <si>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</si>
  <si>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</si>
  <si>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</si>
  <si>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</si>
  <si>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</si>
  <si>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</si>
  <si>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</si>
  <si>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</si>
  <si>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</si>
  <si>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</si>
  <si>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</si>
  <si>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</si>
  <si>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</si>
  <si>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</si>
  <si>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</si>
  <si>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</si>
  <si>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</si>
  <si>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</si>
  <si>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</si>
  <si>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</si>
  <si>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</si>
  <si>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</si>
  <si>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</si>
  <si>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</si>
  <si>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</si>
  <si>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</si>
  <si>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</si>
  <si>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</si>
  <si>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</si>
  <si>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</si>
  <si>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</si>
  <si>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</si>
  <si>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</si>
  <si>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</si>
  <si>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</si>
  <si>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</si>
  <si>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</si>
  <si>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</si>
  <si>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</si>
  <si>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</si>
  <si>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</si>
  <si>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</si>
  <si>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</si>
  <si>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</si>
  <si>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</si>
  <si>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</si>
  <si>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</si>
  <si>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</si>
  <si>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</si>
  <si>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</si>
  <si>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</si>
  <si>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</si>
  <si>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</si>
  <si>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</si>
  <si>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</si>
  <si>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</si>
  <si>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</si>
  <si>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</si>
  <si>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</si>
  <si>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</si>
  <si>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</si>
  <si>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</si>
  <si>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</si>
  <si>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</si>
  <si>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</si>
  <si>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</si>
  <si>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</si>
  <si>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</si>
  <si>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</si>
  <si>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</si>
  <si>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</si>
  <si>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</si>
  <si>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</si>
  <si>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</si>
  <si>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</si>
  <si>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</si>
  <si>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</si>
  <si>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</si>
  <si>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</si>
  <si>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</si>
  <si>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</si>
  <si>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</si>
  <si>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</si>
  <si>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</si>
  <si>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</si>
  <si>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</si>
  <si>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</si>
  <si>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</si>
  <si>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</si>
  <si>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</si>
  <si>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</si>
  <si>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</si>
  <si>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</si>
  <si>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</si>
  <si>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</si>
  <si>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</si>
  <si>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</si>
  <si>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</si>
  <si>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</si>
  <si>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</si>
  <si>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</si>
  <si>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</si>
  <si>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</si>
  <si>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</si>
  <si>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</si>
  <si>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</si>
  <si>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</si>
  <si>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</si>
  <si>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</si>
  <si>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</si>
  <si>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</si>
  <si>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</si>
  <si>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</si>
  <si>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</si>
  <si>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</si>
  <si>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</si>
  <si>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</si>
  <si>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</si>
  <si>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</si>
  <si>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</si>
  <si>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</si>
  <si>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</si>
  <si>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</si>
  <si>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</si>
  <si>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</si>
  <si>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</si>
  <si>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</si>
  <si>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</si>
  <si>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</si>
  <si>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</si>
  <si>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</si>
  <si>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</si>
  <si>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</si>
  <si>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</si>
  <si>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</si>
  <si>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</si>
  <si>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</si>
  <si>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</si>
  <si>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</si>
  <si>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</si>
  <si>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</si>
  <si>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</si>
  <si>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</si>
  <si>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</si>
  <si>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</si>
  <si>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</si>
  <si>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</si>
  <si>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</si>
  <si>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</si>
  <si>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</si>
  <si>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</si>
  <si>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</si>
  <si>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</si>
  <si>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</si>
  <si>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</si>
  <si>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</si>
  <si>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</si>
  <si>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</si>
  <si>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</si>
  <si>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</si>
  <si>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</si>
  <si>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</si>
  <si>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</si>
  <si>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</si>
  <si>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</si>
  <si>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</si>
  <si>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</si>
  <si>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</si>
  <si>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</si>
  <si>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</si>
  <si>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</si>
  <si>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</si>
  <si>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</si>
  <si>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</si>
  <si>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</si>
  <si>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</si>
  <si>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</si>
  <si>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</si>
  <si>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</si>
  <si>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</si>
  <si>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</si>
  <si>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</si>
  <si>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</si>
  <si>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</si>
  <si>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</si>
  <si>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</si>
  <si>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</si>
  <si>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</si>
  <si>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</si>
  <si>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</si>
  <si>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</si>
  <si>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</si>
  <si>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</si>
  <si>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</si>
  <si>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</si>
  <si>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</si>
  <si>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</si>
  <si>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</si>
  <si>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</si>
  <si>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</si>
  <si>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</si>
  <si>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</si>
  <si>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</si>
  <si>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</si>
  <si>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</si>
  <si>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</si>
  <si>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</si>
  <si>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</si>
  <si>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</si>
  <si>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</si>
  <si>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</si>
  <si>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</si>
  <si>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</si>
  <si>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</si>
  <si>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</si>
  <si>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</si>
  <si>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</si>
  <si>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</si>
  <si>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</si>
  <si>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</si>
  <si>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</si>
  <si>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</si>
  <si>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</si>
  <si>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</si>
  <si>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</si>
  <si>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</si>
  <si>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</si>
  <si>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</si>
  <si>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</si>
  <si>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</si>
  <si>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</si>
  <si>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</si>
  <si>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</si>
  <si>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</si>
  <si>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</si>
  <si>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</si>
  <si>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</si>
  <si>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</si>
  <si>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</si>
  <si>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</si>
  <si>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</si>
  <si>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</si>
  <si>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</si>
  <si>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</si>
  <si>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</si>
  <si>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</si>
  <si>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</si>
  <si>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</si>
  <si>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</si>
  <si>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</si>
  <si>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</si>
  <si>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</si>
  <si>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</si>
  <si>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</si>
  <si>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</si>
  <si>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</si>
  <si>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</si>
  <si>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</si>
  <si>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</si>
  <si>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</si>
  <si>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</si>
  <si>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</si>
  <si>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</si>
  <si>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</si>
  <si>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</si>
  <si>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</si>
  <si>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</si>
  <si>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</si>
  <si>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</si>
  <si>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</si>
  <si>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</si>
  <si>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</si>
  <si>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</si>
  <si>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</si>
  <si>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</si>
  <si>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</si>
  <si>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</si>
  <si>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</si>
  <si>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</si>
  <si>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</si>
  <si>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</si>
  <si>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</si>
  <si>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</si>
  <si>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</si>
  <si>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</si>
  <si>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</si>
  <si>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</si>
  <si>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</si>
  <si>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</si>
  <si>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</si>
  <si>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</si>
  <si>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</si>
  <si>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</si>
  <si>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</si>
  <si>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</si>
  <si>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</si>
  <si>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</si>
  <si>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</si>
  <si>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</si>
  <si>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</si>
  <si>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</si>
  <si>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</si>
  <si>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</si>
  <si>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</si>
  <si>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</si>
  <si>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</si>
  <si>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</si>
  <si>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</si>
  <si>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</si>
  <si>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</si>
  <si>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</si>
  <si>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</si>
  <si>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</si>
  <si>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</si>
  <si>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</si>
  <si>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</si>
  <si>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</si>
  <si>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</si>
  <si>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</si>
  <si>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</si>
  <si>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</si>
  <si>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</si>
  <si>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</si>
  <si>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</si>
  <si>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</si>
  <si>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</si>
  <si>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</si>
  <si>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</si>
  <si>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</si>
  <si>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</si>
  <si>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</si>
  <si>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</si>
  <si>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</si>
  <si>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</si>
  <si>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</si>
  <si>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</si>
  <si>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</si>
  <si>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</si>
  <si>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</si>
  <si>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</si>
  <si>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</si>
  <si>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</si>
  <si>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</si>
  <si>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</si>
  <si>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</si>
  <si>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</si>
  <si>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</si>
  <si>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</si>
  <si>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</si>
  <si>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</si>
  <si>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</si>
  <si>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</si>
  <si>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</si>
  <si>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</si>
  <si>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</si>
  <si>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</si>
  <si>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</si>
  <si>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</si>
  <si>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</si>
  <si>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</si>
  <si>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</si>
  <si>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</si>
  <si>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</si>
  <si>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</si>
  <si>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</si>
  <si>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</si>
  <si>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</si>
  <si>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</si>
  <si>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</si>
  <si>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</si>
  <si>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</si>
  <si>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</si>
  <si>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</si>
  <si>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</si>
  <si>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</si>
  <si>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</si>
  <si>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</si>
  <si>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</si>
  <si>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</si>
  <si>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</si>
  <si>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</si>
  <si>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</si>
  <si>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</si>
  <si>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</si>
  <si>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</si>
  <si>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</si>
  <si>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</si>
  <si>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</si>
  <si>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</si>
  <si>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</si>
  <si>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</si>
  <si>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</si>
  <si>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</si>
  <si>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</si>
  <si>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</si>
  <si>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</si>
  <si>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</si>
  <si>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</si>
  <si>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</si>
  <si>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</si>
  <si>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</si>
  <si>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</si>
  <si>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</si>
  <si>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</si>
  <si>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</si>
  <si>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</si>
  <si>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</si>
  <si>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</si>
  <si>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</si>
  <si>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</si>
  <si>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</si>
  <si>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</si>
  <si>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</si>
  <si>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</si>
  <si>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</si>
  <si>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</si>
  <si>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</si>
  <si>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</si>
  <si>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</si>
  <si>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</si>
  <si>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</si>
  <si>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</si>
  <si>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</si>
  <si>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</si>
  <si>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</si>
  <si>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</si>
  <si>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</si>
  <si>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</si>
  <si>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</si>
  <si>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</si>
  <si>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</si>
  <si>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</si>
  <si>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</si>
  <si>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</si>
  <si>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</si>
  <si>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</si>
  <si>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</si>
  <si>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</si>
  <si>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</si>
  <si>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</si>
  <si>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</si>
  <si>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</si>
  <si>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</si>
  <si>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</si>
  <si>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</si>
  <si>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</si>
  <si>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</si>
  <si>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</si>
  <si>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</si>
  <si>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</si>
  <si>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</si>
  <si>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</si>
  <si>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</si>
  <si>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</si>
  <si>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</si>
  <si>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</si>
  <si>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</si>
  <si>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</si>
  <si>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</si>
  <si>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</si>
  <si>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</si>
  <si>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</si>
  <si>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</si>
  <si>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</si>
  <si>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</si>
  <si>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</si>
  <si>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</si>
  <si>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</si>
  <si>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</si>
  <si>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</si>
  <si>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</si>
  <si>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</si>
  <si>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</si>
  <si>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</si>
  <si>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</si>
  <si>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</si>
  <si>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</si>
  <si>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</si>
  <si>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</si>
  <si>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</si>
  <si>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</si>
  <si>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</si>
  <si>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</si>
  <si>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</si>
  <si>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</si>
  <si>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</si>
  <si>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</si>
  <si>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</si>
  <si>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</si>
  <si>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</si>
  <si>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</si>
  <si>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</si>
  <si>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</si>
  <si>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</si>
  <si>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</si>
  <si>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</si>
  <si>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</si>
  <si>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</si>
  <si>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</si>
  <si>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</si>
  <si>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</si>
  <si>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</si>
  <si>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</si>
  <si>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</si>
  <si>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</si>
  <si>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</si>
  <si>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</si>
  <si>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</si>
  <si>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</si>
  <si>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</si>
  <si>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</si>
  <si>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</si>
  <si>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</si>
  <si>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</si>
  <si>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</si>
  <si>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</si>
  <si>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</si>
  <si>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</si>
  <si>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</si>
  <si>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</si>
  <si>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</si>
  <si>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</si>
  <si>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</si>
  <si>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</si>
  <si>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</si>
  <si>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</si>
  <si>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</si>
  <si>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</si>
  <si>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</si>
  <si>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</si>
  <si>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</si>
  <si>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</si>
  <si>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</si>
  <si>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</si>
  <si>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</si>
  <si>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</si>
  <si>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</si>
  <si>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</si>
  <si>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</si>
  <si>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</si>
  <si>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</si>
  <si>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</si>
  <si>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</si>
  <si>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</si>
  <si>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</si>
  <si>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</si>
  <si>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</si>
  <si>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</si>
  <si>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</si>
  <si>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</si>
  <si>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</si>
  <si>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</si>
  <si>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</si>
  <si>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</si>
  <si>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</si>
  <si>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</si>
  <si>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</si>
  <si>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</si>
  <si>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</si>
  <si>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</si>
  <si>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</si>
  <si>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</si>
  <si>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</si>
  <si>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</si>
  <si>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</si>
  <si>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</si>
  <si>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</si>
  <si>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</si>
  <si>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</si>
  <si>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</si>
  <si>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</si>
  <si>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</si>
  <si>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</si>
  <si>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</si>
  <si>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</si>
  <si>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</si>
  <si>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</si>
  <si>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</si>
  <si>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</si>
  <si>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</si>
  <si>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</si>
  <si>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</si>
  <si>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</si>
  <si>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</si>
  <si>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</si>
  <si>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</si>
  <si>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</si>
  <si>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</si>
  <si>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</si>
  <si>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</si>
  <si>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</si>
  <si>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</si>
  <si>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</si>
  <si>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</si>
  <si>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</si>
  <si>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</si>
  <si>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</si>
  <si>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</si>
  <si>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</si>
  <si>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</si>
  <si>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</si>
  <si>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</si>
  <si>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</si>
  <si>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</si>
  <si>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</si>
  <si>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</si>
  <si>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</si>
  <si>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</si>
  <si>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</si>
  <si>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</si>
  <si>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</si>
  <si>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</si>
  <si>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</si>
  <si>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</si>
  <si>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</si>
  <si>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</si>
  <si>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</si>
  <si>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</si>
  <si>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</si>
  <si>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</si>
  <si>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</si>
  <si>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</si>
  <si>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</si>
  <si>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</si>
  <si>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</si>
  <si>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</si>
  <si>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</si>
  <si>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</si>
  <si>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</si>
  <si>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</si>
  <si>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</si>
  <si>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</si>
  <si>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</si>
  <si>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</si>
  <si>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</si>
  <si>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</si>
  <si>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</si>
  <si>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</si>
  <si>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</si>
  <si>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</si>
  <si>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</si>
  <si>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</si>
  <si>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</si>
  <si>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</si>
  <si>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</si>
  <si>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</si>
  <si>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</si>
  <si>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</si>
  <si>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</si>
  <si>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</si>
  <si>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</si>
  <si>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</si>
  <si>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</si>
  <si>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</si>
  <si>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</si>
  <si>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</si>
  <si>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</si>
  <si>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</si>
  <si>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</si>
  <si>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</si>
  <si>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</si>
  <si>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</si>
  <si>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</si>
  <si>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</si>
  <si>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</si>
  <si>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</si>
  <si>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</si>
  <si>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</si>
  <si>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</si>
  <si>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</si>
  <si>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</si>
  <si>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</si>
  <si>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</si>
  <si>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</si>
  <si>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</si>
  <si>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</si>
  <si>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</si>
  <si>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</si>
  <si>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</si>
  <si>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</si>
  <si>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</si>
  <si>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</si>
  <si>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</si>
  <si>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</si>
  <si>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</si>
  <si>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</si>
  <si>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</si>
  <si>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</si>
  <si>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</si>
  <si>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</si>
  <si>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</si>
  <si>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</si>
  <si>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</si>
  <si>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</si>
  <si>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</si>
  <si>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</si>
  <si>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</si>
  <si>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</si>
  <si>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</si>
  <si>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</si>
  <si>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</si>
  <si>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</si>
  <si>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</si>
  <si>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</si>
  <si>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</si>
  <si>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</si>
  <si>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</si>
  <si>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</si>
  <si>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</si>
  <si>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</si>
  <si>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</si>
  <si>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</si>
  <si>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</si>
  <si>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</si>
  <si>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</si>
  <si>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</si>
  <si>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</si>
  <si>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</si>
  <si>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</si>
  <si>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</si>
  <si>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</si>
  <si>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</si>
  <si>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</si>
  <si>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</si>
  <si>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</si>
  <si>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</si>
  <si>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</si>
  <si>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</si>
  <si>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</si>
  <si>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</si>
  <si>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</si>
  <si>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</si>
  <si>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</si>
  <si>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</si>
  <si>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</si>
  <si>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</si>
  <si>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</si>
  <si>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</si>
  <si>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</si>
  <si>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</si>
  <si>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</si>
  <si>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</si>
  <si>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</si>
  <si>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</si>
  <si>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</si>
  <si>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</si>
  <si>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</si>
  <si>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</si>
  <si>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</si>
  <si>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</si>
  <si>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</si>
  <si>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</si>
  <si>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</si>
  <si>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</si>
  <si>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</si>
  <si>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</si>
  <si>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</si>
  <si>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</si>
  <si>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</si>
  <si>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</si>
  <si>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</si>
  <si>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</si>
  <si>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</si>
  <si>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</si>
  <si>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</si>
  <si>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</si>
  <si>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</si>
  <si>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</si>
  <si>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</si>
  <si>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</si>
  <si>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</si>
  <si>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</si>
  <si>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</si>
  <si>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</si>
  <si>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</si>
  <si>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</si>
  <si>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</si>
  <si>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</si>
  <si>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</si>
  <si>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</si>
  <si>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</si>
  <si>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</si>
  <si>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</si>
  <si>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</si>
  <si>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</si>
  <si>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</si>
  <si>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</si>
  <si>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</si>
  <si>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</si>
  <si>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</si>
  <si>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</si>
  <si>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</si>
  <si>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</si>
  <si>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</si>
  <si>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</si>
  <si>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</si>
  <si>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</si>
  <si>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</si>
  <si>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</si>
  <si>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</si>
  <si>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</si>
  <si>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</si>
  <si>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</si>
  <si>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</si>
  <si>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</si>
  <si>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</si>
  <si>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</si>
  <si>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</si>
  <si>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</si>
  <si>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</si>
  <si>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</si>
  <si>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</si>
  <si>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</si>
  <si>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</si>
  <si>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</si>
  <si>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</si>
  <si>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</si>
  <si>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</si>
  <si>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</si>
  <si>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</si>
  <si>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</si>
  <si>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</si>
  <si>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</si>
  <si>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</si>
  <si>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</si>
  <si>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</si>
  <si>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</si>
  <si>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</si>
  <si>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</si>
  <si>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</si>
  <si>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</si>
  <si>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</si>
  <si>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</si>
  <si>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</si>
  <si>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</si>
  <si>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</si>
  <si>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</si>
  <si>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</si>
  <si>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</si>
  <si>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</si>
  <si>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</si>
  <si>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</si>
  <si>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</si>
  <si>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</si>
  <si>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</si>
  <si>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</si>
  <si>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</si>
  <si>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</si>
  <si>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</si>
  <si>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</si>
  <si>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</si>
  <si>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</si>
  <si>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</si>
  <si>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</si>
  <si>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</si>
  <si>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</si>
  <si>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</si>
  <si>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</si>
  <si>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</si>
  <si>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</si>
  <si>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</si>
  <si>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</si>
  <si>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</si>
  <si>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</si>
  <si>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</si>
  <si>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</si>
  <si>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</si>
  <si>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</si>
  <si>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</si>
  <si>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</si>
  <si>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</si>
  <si>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</si>
  <si>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</si>
  <si>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</si>
  <si>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</si>
  <si>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</si>
  <si>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</si>
  <si>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</si>
  <si>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</si>
  <si>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</si>
  <si>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</si>
  <si>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</si>
  <si>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</si>
  <si>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</si>
  <si>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</si>
  <si>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</si>
  <si>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</si>
  <si>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</si>
  <si>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</si>
  <si>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</si>
  <si>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</si>
  <si>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</si>
  <si>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</si>
  <si>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</si>
  <si>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</si>
  <si>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</si>
  <si>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</si>
  <si>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</si>
  <si>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</si>
  <si>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</si>
  <si>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</si>
  <si>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</si>
  <si>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</si>
  <si>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</si>
  <si>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</si>
  <si>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</si>
  <si>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</si>
  <si>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</si>
  <si>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</si>
  <si>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</si>
  <si>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</si>
  <si>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</si>
  <si>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</si>
  <si>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</si>
  <si>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</si>
  <si>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</si>
  <si>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</si>
  <si>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</si>
  <si>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</si>
  <si>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</si>
  <si>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</si>
  <si>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</si>
  <si>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</si>
  <si>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</si>
  <si>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</si>
  <si>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</si>
  <si>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</si>
  <si>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</si>
  <si>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</si>
  <si>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</si>
  <si>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</si>
  <si>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</si>
  <si>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</si>
  <si>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</si>
  <si>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</si>
  <si>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</si>
  <si>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</si>
  <si>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</si>
  <si>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</si>
  <si>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</si>
  <si>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</si>
  <si>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</si>
  <si>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</si>
  <si>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</si>
  <si>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</si>
  <si>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</si>
  <si>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</si>
  <si>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</si>
  <si>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</si>
  <si>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</si>
  <si>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</si>
  <si>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</si>
  <si>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</si>
  <si>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</si>
  <si>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</si>
  <si>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</si>
  <si>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</si>
  <si>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</si>
  <si>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</si>
  <si>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</si>
  <si>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</si>
  <si>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</si>
  <si>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</si>
  <si>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</si>
  <si>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</si>
  <si>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</si>
  <si>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</si>
  <si>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</si>
  <si>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</si>
  <si>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</si>
  <si>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</si>
  <si>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</si>
  <si>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</si>
  <si>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</si>
  <si>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</si>
  <si>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</si>
  <si>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</si>
  <si>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</si>
  <si>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</si>
  <si>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</si>
  <si>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</si>
  <si>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</si>
  <si>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</si>
  <si>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</si>
  <si>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</si>
  <si>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</si>
  <si>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</si>
  <si>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</si>
  <si>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</si>
  <si>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</si>
  <si>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</si>
  <si>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</si>
  <si>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</si>
  <si>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</si>
  <si>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</si>
  <si>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</si>
  <si>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</si>
  <si>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</si>
  <si>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</si>
  <si>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</si>
  <si>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</si>
  <si>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</si>
  <si>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</si>
  <si>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</si>
  <si>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</si>
  <si>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</si>
  <si>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</si>
  <si>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</si>
  <si>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</si>
  <si>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</si>
  <si>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</si>
  <si>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</si>
  <si>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</si>
  <si>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</si>
  <si>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</si>
  <si>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</si>
  <si>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</si>
  <si>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</si>
  <si>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</si>
  <si>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</si>
  <si>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</si>
  <si>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</si>
  <si>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</si>
  <si>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</si>
  <si>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</si>
  <si>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</si>
  <si>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</si>
  <si>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</si>
  <si>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</si>
  <si>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</si>
  <si>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</si>
  <si>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</si>
  <si>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</si>
  <si>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</si>
  <si>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</si>
  <si>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</si>
  <si>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</si>
  <si>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</si>
  <si>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</si>
  <si>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</si>
  <si>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</si>
  <si>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</si>
  <si>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</si>
  <si>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</si>
  <si>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</si>
  <si>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</si>
  <si>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</si>
  <si>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</si>
  <si>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</si>
  <si>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</si>
  <si>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</si>
  <si>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</si>
  <si>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</si>
  <si>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</si>
  <si>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</si>
  <si>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</si>
  <si>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</si>
  <si>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</si>
  <si>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</si>
  <si>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</si>
  <si>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</si>
  <si>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</si>
  <si>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</si>
  <si>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</si>
  <si>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</si>
  <si>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</si>
  <si>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</si>
  <si>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</si>
  <si>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</si>
  <si>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</si>
  <si>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</si>
  <si>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</si>
  <si>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</si>
  <si>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</si>
  <si>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</si>
  <si>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</si>
  <si>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</si>
  <si>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</si>
  <si>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</si>
  <si>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</si>
  <si>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</si>
  <si>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</si>
  <si>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</si>
  <si>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</si>
  <si>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</si>
  <si>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</si>
  <si>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</si>
  <si>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</si>
  <si>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</si>
  <si>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</si>
  <si>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</si>
  <si>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</si>
  <si>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</si>
  <si>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</si>
  <si>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</si>
  <si>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</si>
  <si>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</si>
  <si>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</si>
  <si>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</si>
  <si>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</si>
  <si>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</si>
  <si>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</si>
  <si>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</si>
  <si>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</si>
  <si>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</si>
  <si>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</si>
  <si>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</si>
  <si>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</si>
  <si>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</si>
  <si>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</si>
  <si>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</si>
  <si>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</si>
  <si>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</si>
  <si>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</si>
  <si>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</si>
  <si>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</si>
  <si>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</si>
  <si>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</si>
  <si>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</si>
  <si>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</si>
  <si>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</si>
  <si>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</si>
  <si>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</si>
  <si>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</si>
  <si>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</si>
  <si>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</si>
  <si>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</si>
  <si>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</si>
  <si>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</si>
  <si>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</si>
  <si>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</si>
  <si>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</si>
  <si>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</si>
  <si>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</si>
  <si>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</si>
  <si>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</si>
  <si>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</si>
  <si>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</si>
  <si>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</si>
  <si>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</si>
  <si>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</si>
  <si>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</si>
  <si>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</si>
  <si>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</si>
  <si>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</si>
  <si>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</si>
  <si>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</si>
  <si>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</si>
  <si>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</si>
  <si>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</si>
  <si>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</si>
  <si>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</si>
  <si>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</si>
  <si>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</si>
  <si>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</si>
  <si>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</si>
  <si>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</si>
  <si>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</si>
  <si>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</si>
  <si>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</si>
  <si>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</si>
  <si>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</si>
  <si>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</si>
  <si>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</si>
  <si>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</si>
  <si>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</si>
  <si>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</si>
  <si>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</si>
  <si>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</si>
  <si>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</si>
  <si>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</si>
  <si>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</si>
  <si>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</si>
  <si>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</si>
  <si>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</si>
  <si>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</si>
  <si>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</si>
  <si>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</si>
  <si>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</si>
  <si>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</si>
  <si>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</si>
  <si>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</si>
  <si>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</si>
  <si>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</si>
  <si>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</si>
  <si>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</si>
  <si>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</si>
  <si>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</si>
  <si>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</si>
  <si>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</si>
  <si>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</si>
  <si>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</si>
  <si>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</si>
  <si>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</si>
  <si>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</si>
  <si>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</si>
  <si>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</si>
  <si>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</si>
  <si>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</si>
  <si>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</si>
  <si>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</si>
  <si>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</si>
  <si>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</si>
  <si>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</si>
  <si>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</si>
  <si>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</si>
  <si>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</si>
  <si>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</si>
  <si>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</si>
  <si>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</si>
  <si>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</si>
  <si>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</si>
  <si>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</si>
  <si>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</si>
  <si>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</si>
  <si>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</si>
  <si>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</si>
  <si>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</si>
  <si>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</si>
  <si>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</si>
  <si>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</si>
  <si>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</si>
  <si>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</si>
  <si>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</si>
  <si>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</si>
  <si>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</si>
  <si>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</si>
  <si>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</si>
  <si>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</si>
  <si>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</si>
  <si>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</si>
  <si>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</si>
  <si>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</si>
  <si>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</si>
  <si>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</si>
  <si>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</si>
  <si>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</si>
  <si>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</si>
  <si>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</si>
  <si>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</si>
  <si>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</si>
  <si>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</si>
  <si>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</si>
  <si>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</si>
  <si>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</si>
  <si>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</si>
  <si>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</si>
  <si>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</si>
  <si>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</si>
  <si>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</si>
  <si>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</si>
  <si>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</si>
  <si>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</si>
  <si>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</si>
  <si>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</si>
  <si>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</si>
  <si>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</si>
  <si>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</si>
  <si>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</si>
  <si>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</si>
  <si>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</si>
  <si>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</si>
  <si>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</si>
  <si>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</si>
  <si>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</si>
  <si>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</si>
  <si>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</si>
  <si>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</si>
  <si>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</si>
  <si>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</si>
  <si>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</si>
  <si>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</si>
  <si>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</si>
  <si>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</si>
  <si>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</si>
  <si>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</si>
  <si>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</si>
  <si>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</si>
  <si>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</si>
  <si>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</si>
  <si>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</si>
  <si>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</si>
  <si>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</si>
  <si>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</si>
  <si>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</si>
  <si>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</si>
  <si>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</si>
  <si>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</si>
  <si>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</si>
  <si>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</si>
  <si>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</si>
  <si>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</si>
  <si>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</si>
  <si>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</si>
  <si>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</si>
  <si>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</si>
  <si>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</si>
  <si>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</si>
  <si>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</si>
  <si>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</si>
  <si>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</si>
  <si>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</si>
  <si>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</si>
  <si>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</si>
  <si>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</si>
  <si>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</si>
  <si>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</si>
  <si>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</si>
  <si>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</si>
  <si>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</si>
  <si>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</si>
  <si>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</si>
  <si>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</si>
  <si>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</si>
  <si>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</si>
  <si>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</si>
  <si>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</si>
  <si>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</si>
  <si>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</si>
  <si>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</si>
  <si>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</si>
  <si>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</si>
  <si>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</si>
  <si>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</si>
  <si>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</si>
  <si>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</si>
  <si>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</si>
  <si>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</si>
  <si>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</si>
  <si>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</si>
  <si>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</si>
  <si>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</si>
  <si>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</si>
  <si>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</si>
  <si>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</si>
  <si>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</si>
  <si>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</si>
  <si>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</si>
  <si>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</si>
  <si>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</si>
  <si>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</si>
  <si>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</si>
  <si>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</si>
  <si>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</si>
  <si>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</si>
  <si>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</si>
  <si>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</si>
  <si>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</si>
  <si>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</si>
  <si>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</si>
  <si>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</si>
  <si>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</si>
  <si>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</si>
  <si>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</si>
  <si>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</si>
  <si>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</si>
  <si>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</si>
  <si>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</si>
  <si>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</si>
  <si>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</si>
  <si>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</si>
  <si>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</si>
  <si>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</si>
  <si>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</si>
  <si>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</si>
  <si>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</si>
  <si>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</si>
  <si>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</si>
  <si>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</si>
  <si>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</si>
  <si>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</si>
  <si>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</si>
  <si>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</si>
  <si>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</si>
  <si>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</si>
  <si>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</si>
  <si>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</si>
  <si>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</si>
  <si>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</si>
  <si>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</si>
  <si>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</si>
  <si>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</si>
  <si>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</si>
  <si>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</si>
  <si>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</si>
  <si>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</si>
  <si>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</si>
  <si>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</si>
  <si>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</si>
  <si>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</si>
  <si>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</si>
  <si>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</si>
  <si>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</si>
  <si>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</si>
  <si>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</si>
  <si>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</si>
  <si>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</si>
  <si>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</si>
  <si>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</si>
  <si>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</si>
  <si>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</si>
  <si>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</si>
  <si>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</si>
  <si>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</si>
  <si>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</si>
  <si>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</si>
  <si>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</si>
  <si>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</si>
  <si>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</si>
  <si>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</si>
  <si>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</si>
  <si>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</si>
  <si>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</si>
  <si>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</si>
  <si>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</si>
  <si>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</si>
  <si>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</si>
  <si>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</si>
  <si>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</si>
  <si>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</si>
  <si>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</si>
  <si>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</si>
  <si>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</si>
  <si>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</si>
  <si>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</si>
  <si>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</si>
  <si>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</si>
  <si>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</si>
  <si>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</si>
  <si>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</si>
  <si>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</si>
  <si>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</si>
  <si>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</si>
  <si>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</si>
  <si>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</si>
  <si>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</si>
  <si>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</si>
  <si>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</si>
  <si>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</si>
  <si>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</si>
  <si>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</si>
  <si>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</si>
  <si>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</si>
  <si>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</si>
  <si>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</si>
  <si>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</si>
  <si>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</si>
  <si>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</si>
  <si>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</si>
  <si>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</si>
  <si>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</si>
  <si>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</si>
  <si>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</si>
  <si>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</si>
  <si>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</si>
  <si>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</si>
  <si>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</si>
  <si>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</si>
  <si>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</si>
  <si>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</si>
  <si>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</si>
  <si>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</si>
  <si>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</si>
  <si>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</si>
  <si>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</si>
  <si>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</si>
  <si>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</si>
  <si>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</si>
  <si>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</si>
  <si>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</si>
  <si>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</si>
  <si>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</si>
  <si>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</si>
  <si>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</si>
  <si>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</si>
  <si>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</si>
  <si>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</si>
  <si>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</si>
  <si>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</si>
  <si>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</si>
  <si>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</si>
  <si>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</si>
  <si>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</si>
  <si>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</si>
  <si>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</si>
  <si>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</si>
  <si>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</si>
  <si>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</si>
  <si>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</si>
  <si>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</si>
  <si>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</si>
  <si>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</si>
  <si>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</si>
  <si>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</si>
  <si>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</si>
  <si>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</si>
  <si>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</si>
  <si>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</si>
  <si>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</si>
  <si>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</si>
  <si>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</si>
  <si>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</si>
  <si>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</si>
  <si>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</si>
  <si>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</si>
  <si>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</si>
  <si>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</si>
  <si>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</si>
  <si>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</si>
  <si>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</si>
  <si>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</si>
  <si>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</si>
  <si>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</si>
  <si>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</si>
  <si>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</si>
  <si>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</si>
  <si>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</si>
  <si>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</si>
  <si>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</si>
  <si>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</si>
  <si>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</si>
  <si>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</si>
  <si>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</si>
  <si>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</si>
  <si>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</si>
  <si>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</si>
  <si>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</si>
  <si>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</si>
  <si>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</si>
  <si>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</si>
  <si>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</si>
  <si>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</si>
  <si>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</si>
  <si>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</si>
  <si>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</si>
  <si>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</si>
  <si>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</si>
  <si>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</si>
  <si>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</si>
  <si>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</si>
  <si>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</si>
  <si>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</si>
  <si>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</si>
  <si>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</si>
  <si>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</si>
  <si>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</si>
  <si>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</si>
  <si>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</si>
  <si>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</si>
  <si>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</si>
  <si>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</si>
  <si>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</si>
  <si>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</si>
  <si>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</si>
  <si>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</si>
  <si>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</si>
  <si>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</si>
  <si>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</si>
  <si>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</si>
  <si>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</si>
  <si>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</si>
  <si>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</si>
  <si>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</si>
  <si>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</si>
  <si>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</si>
  <si>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</si>
  <si>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</si>
  <si>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</si>
  <si>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</si>
  <si>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</si>
  <si>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</si>
  <si>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</si>
  <si>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</si>
  <si>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</si>
  <si>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</si>
  <si>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</si>
  <si>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</si>
  <si>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</si>
  <si>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</si>
  <si>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</si>
  <si>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</si>
  <si>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</si>
  <si>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</si>
  <si>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</si>
  <si>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</si>
  <si>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</si>
  <si>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</si>
  <si>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</si>
  <si>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</si>
  <si>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</si>
  <si>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</si>
  <si>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</si>
  <si>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</si>
  <si>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</si>
  <si>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</si>
  <si>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</si>
  <si>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</si>
  <si>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</si>
  <si>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</si>
  <si>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</si>
  <si>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</si>
  <si>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</si>
  <si>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</si>
  <si>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</si>
  <si>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</si>
  <si>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</si>
  <si>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</si>
  <si>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</si>
  <si>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</si>
  <si>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</si>
  <si>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</si>
  <si>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</si>
  <si>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</si>
  <si>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</si>
  <si>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</si>
  <si>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</si>
  <si>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</si>
  <si>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</si>
  <si>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</si>
  <si>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</si>
  <si>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</si>
  <si>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</si>
  <si>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</si>
  <si>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</si>
  <si>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</si>
  <si>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</si>
  <si>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</si>
  <si>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</si>
  <si>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</si>
  <si>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</si>
  <si>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</si>
  <si>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</si>
  <si>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</si>
  <si>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</si>
  <si>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</si>
  <si>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</si>
  <si>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</si>
  <si>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</si>
  <si>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</si>
  <si>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</si>
  <si>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</si>
  <si>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</si>
  <si>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</si>
  <si>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</si>
  <si>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</si>
  <si>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</si>
  <si>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</si>
  <si>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</si>
  <si>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</si>
  <si>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</si>
  <si>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</si>
  <si>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</si>
  <si>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</si>
  <si>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</si>
  <si>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</si>
  <si>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</si>
  <si>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</si>
  <si>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</si>
  <si>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</si>
  <si>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</si>
  <si>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</si>
  <si>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</si>
  <si>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</si>
  <si>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</si>
  <si>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</si>
  <si>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</si>
  <si>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</si>
  <si>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</si>
  <si>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</si>
  <si>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</si>
  <si>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</si>
  <si>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</si>
  <si>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</si>
  <si>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</si>
  <si>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</si>
  <si>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</si>
  <si>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</si>
  <si>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</si>
  <si>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</si>
  <si>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</si>
  <si>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</si>
  <si>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</si>
  <si>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</si>
  <si>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</si>
  <si>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</si>
  <si>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</si>
  <si>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</si>
  <si>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</si>
  <si>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</si>
  <si>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</si>
  <si>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</si>
  <si>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</si>
  <si>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</si>
  <si>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</si>
  <si>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</si>
  <si>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</si>
  <si>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</si>
  <si>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</si>
  <si>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</si>
  <si>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</si>
  <si>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</si>
  <si>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</si>
  <si>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</si>
  <si>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</si>
  <si>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</si>
  <si>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</si>
  <si>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</si>
  <si>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</si>
  <si>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</si>
  <si>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</si>
  <si>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</si>
  <si>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</si>
  <si>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</si>
  <si>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</si>
  <si>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</si>
  <si>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</si>
  <si>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</si>
  <si>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</si>
  <si>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</si>
  <si>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</si>
  <si>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</si>
  <si>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</si>
  <si>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</si>
  <si>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</si>
  <si>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</si>
  <si>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</si>
  <si>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</si>
  <si>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</si>
  <si>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</si>
  <si>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</si>
  <si>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</si>
  <si>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</si>
  <si>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</si>
  <si>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</si>
  <si>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</si>
  <si>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</si>
  <si>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</si>
  <si>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</si>
  <si>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</si>
  <si>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</si>
  <si>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</si>
  <si>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</si>
  <si>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</si>
  <si>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</si>
  <si>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</si>
  <si>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</si>
  <si>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</si>
  <si>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</si>
  <si>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</si>
  <si>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</si>
  <si>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</si>
  <si>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</si>
  <si>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</si>
  <si>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</si>
  <si>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</si>
  <si>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</si>
  <si>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</si>
  <si>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</si>
  <si>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</si>
  <si>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</si>
  <si>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</si>
  <si>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</si>
  <si>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</si>
  <si>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</si>
  <si>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</si>
  <si>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</si>
  <si>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</si>
  <si>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</si>
  <si>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</si>
  <si>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</si>
  <si>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</si>
  <si>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</si>
  <si>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</si>
  <si>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</si>
  <si>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</si>
  <si>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</si>
  <si>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</si>
  <si>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</si>
  <si>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</si>
  <si>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</si>
  <si>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</si>
  <si>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</si>
  <si>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</si>
  <si>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</si>
  <si>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</si>
  <si>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</si>
  <si>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</si>
  <si>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</si>
  <si>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</si>
  <si>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</si>
  <si>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</si>
  <si>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</si>
  <si>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</si>
  <si>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</si>
  <si>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</si>
  <si>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</si>
  <si>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</si>
  <si>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</si>
  <si>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</si>
  <si>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</si>
  <si>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</si>
  <si>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</si>
  <si>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</si>
  <si>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</si>
  <si>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</si>
  <si>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</si>
  <si>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</si>
  <si>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</si>
  <si>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</si>
  <si>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</si>
  <si>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</si>
  <si>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</si>
  <si>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</si>
  <si>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</si>
  <si>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</si>
  <si>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</si>
  <si>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</si>
  <si>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</si>
  <si>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</si>
  <si>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</si>
  <si>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</si>
  <si>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</si>
  <si>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</si>
  <si>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</si>
  <si>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</si>
  <si>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</si>
  <si>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</si>
  <si>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</si>
  <si>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</si>
  <si>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</si>
  <si>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</si>
  <si>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</si>
  <si>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</si>
  <si>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</si>
  <si>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</si>
  <si>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</si>
  <si>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</si>
  <si>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</si>
  <si>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</si>
  <si>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</si>
  <si>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</si>
  <si>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</si>
  <si>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</si>
  <si>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</si>
  <si>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</si>
  <si>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</si>
  <si>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</si>
  <si>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</si>
  <si>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</si>
  <si>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</si>
  <si>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</si>
  <si>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</si>
  <si>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</si>
  <si>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</si>
  <si>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</si>
  <si>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</si>
  <si>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</si>
  <si>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</si>
  <si>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</si>
  <si>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</si>
  <si>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</si>
  <si>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</si>
  <si>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</si>
  <si>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</si>
  <si>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</si>
  <si>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</si>
  <si>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</si>
  <si>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</si>
  <si>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</si>
  <si>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</si>
  <si>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</si>
  <si>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</si>
  <si>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</si>
  <si>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</si>
  <si>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</si>
  <si>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</si>
  <si>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</si>
  <si>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</si>
  <si>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</si>
  <si>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</si>
  <si>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</si>
  <si>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</si>
  <si>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</si>
  <si>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</si>
  <si>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</si>
  <si>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</si>
  <si>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</si>
  <si>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</si>
  <si>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</si>
  <si>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</si>
  <si>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</si>
  <si>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</si>
  <si>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</si>
  <si>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</si>
  <si>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</si>
  <si>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</si>
  <si>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</si>
  <si>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</si>
  <si>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</si>
  <si>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</si>
  <si>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</si>
  <si>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</si>
  <si>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</si>
  <si>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</si>
  <si>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</si>
  <si>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</si>
  <si>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</si>
  <si>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</si>
  <si>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</si>
  <si>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</si>
  <si>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</si>
  <si>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</si>
  <si>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</si>
  <si>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</si>
  <si>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</si>
  <si>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</si>
  <si>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</si>
  <si>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</si>
  <si>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</si>
  <si>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</si>
  <si>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</si>
  <si>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</si>
  <si>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</si>
  <si>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</si>
  <si>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</si>
  <si>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</si>
  <si>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</si>
  <si>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</si>
  <si>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</si>
  <si>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</si>
  <si>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</si>
  <si>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</si>
  <si>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</si>
  <si>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</si>
  <si>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</si>
  <si>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</si>
  <si>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</si>
  <si>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</si>
  <si>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</si>
  <si>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</si>
  <si>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</si>
  <si>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</si>
  <si>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</si>
  <si>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</si>
  <si>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</si>
  <si>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</si>
  <si>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</si>
  <si>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</si>
  <si>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</si>
  <si>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</si>
  <si>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</si>
  <si>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</si>
  <si>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</si>
  <si>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</si>
  <si>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</si>
  <si>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</si>
  <si>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</si>
  <si>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</si>
  <si>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</si>
  <si>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</si>
  <si>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</si>
  <si>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</si>
  <si>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</si>
  <si>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</si>
  <si>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</si>
  <si>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</si>
  <si>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</si>
  <si>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</si>
  <si>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</si>
  <si>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</si>
  <si>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</si>
  <si>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</si>
  <si>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</si>
  <si>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</si>
  <si>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</si>
  <si>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</si>
  <si>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</si>
  <si>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</si>
  <si>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</si>
  <si>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</si>
  <si>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</si>
  <si>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</si>
  <si>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</si>
  <si>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</si>
  <si>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</si>
  <si>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</si>
  <si>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</si>
  <si>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</si>
  <si>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</si>
  <si>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</si>
  <si>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</si>
  <si>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</si>
  <si>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</si>
  <si>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</si>
  <si>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</si>
  <si>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</si>
  <si>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</si>
  <si>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</si>
  <si>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</si>
  <si>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</si>
  <si>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</si>
  <si>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</si>
  <si>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</si>
  <si>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</si>
  <si>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</si>
  <si>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</si>
  <si>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</si>
  <si>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</si>
  <si>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</si>
  <si>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</si>
  <si>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</si>
  <si>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</si>
  <si>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</si>
  <si>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</si>
  <si>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</si>
  <si>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</si>
  <si>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</si>
  <si>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</si>
  <si>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</si>
  <si>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</si>
  <si>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</si>
  <si>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</si>
  <si>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</si>
  <si>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</si>
  <si>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</si>
  <si>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</si>
  <si>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</si>
  <si>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</si>
  <si>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</si>
  <si>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</si>
  <si>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</si>
  <si>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</si>
  <si>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</si>
  <si>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</si>
  <si>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</si>
  <si>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</si>
  <si>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</si>
  <si>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</si>
  <si>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</si>
  <si>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</si>
  <si>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</si>
  <si>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</si>
  <si>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</si>
  <si>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</si>
  <si>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</si>
  <si>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</si>
  <si>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</si>
  <si>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</si>
  <si>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</si>
  <si>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</si>
  <si>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</si>
  <si>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</si>
  <si>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</si>
  <si>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</si>
  <si>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</si>
  <si>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</si>
  <si>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</si>
  <si>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</si>
  <si>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</si>
  <si>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</si>
  <si>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</si>
  <si>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</si>
  <si>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</si>
  <si>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</si>
  <si>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</si>
  <si>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</si>
  <si>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</si>
  <si>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</si>
  <si>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</si>
  <si>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</si>
  <si>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</si>
  <si>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</si>
  <si>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</si>
  <si>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</si>
  <si>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</si>
  <si>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</si>
  <si>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</si>
  <si>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</si>
  <si>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</si>
  <si>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</si>
  <si>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</si>
  <si>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</si>
  <si>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</si>
  <si>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</si>
  <si>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</si>
  <si>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</si>
  <si>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</si>
  <si>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</si>
  <si>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</si>
  <si>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</si>
  <si>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</si>
  <si>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</si>
  <si>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</si>
  <si>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</si>
  <si>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</si>
  <si>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</si>
  <si>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</si>
  <si>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</si>
  <si>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</si>
  <si>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</si>
  <si>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</si>
  <si>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</si>
  <si>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</si>
  <si>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</si>
  <si>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</si>
  <si>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</si>
  <si>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</si>
  <si>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</si>
  <si>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</si>
  <si>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</si>
  <si>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</si>
  <si>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</si>
  <si>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</si>
  <si>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</si>
  <si>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</si>
  <si>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</si>
  <si>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</si>
  <si>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</si>
  <si>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</si>
  <si>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</si>
  <si>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</si>
  <si>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</si>
  <si>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</si>
  <si>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</si>
  <si>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</si>
  <si>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</si>
  <si>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</si>
  <si>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</si>
  <si>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</si>
  <si>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</si>
  <si>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</si>
  <si>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</si>
  <si>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</si>
  <si>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</si>
  <si>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</si>
  <si>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</si>
  <si>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</si>
  <si>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</si>
  <si>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</si>
  <si>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</si>
  <si>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</si>
  <si>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</si>
  <si>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</si>
  <si>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</si>
  <si>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</si>
  <si>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</si>
  <si>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</si>
  <si>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</si>
  <si>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</si>
  <si>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</si>
  <si>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</si>
  <si>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</si>
  <si>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</si>
  <si>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</si>
  <si>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</si>
  <si>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</si>
  <si>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</si>
  <si>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</si>
  <si>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</si>
  <si>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</si>
  <si>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</si>
  <si>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</si>
  <si>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</si>
  <si>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</si>
  <si>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</si>
  <si>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</si>
  <si>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</si>
  <si>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</si>
  <si>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</si>
  <si>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</si>
  <si>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</si>
  <si>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</si>
  <si>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</si>
  <si>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</si>
  <si>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</si>
  <si>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</si>
  <si>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</si>
  <si>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</si>
  <si>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</si>
  <si>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</si>
  <si>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</si>
  <si>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</si>
  <si>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</si>
  <si>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</si>
  <si>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</si>
  <si>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</si>
  <si>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</si>
  <si>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</si>
  <si>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</si>
  <si>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</si>
  <si>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</si>
  <si>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</si>
  <si>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</si>
  <si>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</si>
  <si>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</si>
  <si>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</si>
  <si>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</si>
  <si>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</si>
  <si>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</si>
  <si>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</si>
  <si>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</si>
  <si>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</si>
  <si>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</si>
  <si>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</si>
  <si>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</si>
  <si>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</si>
  <si>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</si>
  <si>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</si>
  <si>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</si>
  <si>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</si>
  <si>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</si>
  <si>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</si>
  <si>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</si>
  <si>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</si>
  <si>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</si>
  <si>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</si>
  <si>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</si>
  <si>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</si>
  <si>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</si>
  <si>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</si>
  <si>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</si>
  <si>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</si>
  <si>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</si>
  <si>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</si>
  <si>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</si>
  <si>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</si>
  <si>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</si>
  <si>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</si>
  <si>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</si>
  <si>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</si>
  <si>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</si>
  <si>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</si>
  <si>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</si>
  <si>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</si>
  <si>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</si>
  <si>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</si>
  <si>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</si>
  <si>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</si>
  <si>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</si>
  <si>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</si>
  <si>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</si>
  <si>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</si>
  <si>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</si>
  <si>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</si>
  <si>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</si>
  <si>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</si>
  <si>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</si>
  <si>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</si>
  <si>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</si>
  <si>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</si>
  <si>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</si>
  <si>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</si>
  <si>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</si>
  <si>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</si>
  <si>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</si>
  <si>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</si>
  <si>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</si>
  <si>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</si>
  <si>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</si>
  <si>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</si>
  <si>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</si>
  <si>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</si>
  <si>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</si>
  <si>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</si>
  <si>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</si>
  <si>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</si>
  <si>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</si>
  <si>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</si>
  <si>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</si>
  <si>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</si>
  <si>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</si>
  <si>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</si>
  <si>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</si>
  <si>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</si>
  <si>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</si>
  <si>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</si>
  <si>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</si>
  <si>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</si>
  <si>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</si>
  <si>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</si>
  <si>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</si>
  <si>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</si>
  <si>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</si>
  <si>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</si>
  <si>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</si>
  <si>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</si>
  <si>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</si>
  <si>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</si>
  <si>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</si>
  <si>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</si>
  <si>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</si>
  <si>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</si>
  <si>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</si>
  <si>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</si>
  <si>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</si>
  <si>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</si>
  <si>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</si>
  <si>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</si>
  <si>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</si>
  <si>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</si>
  <si>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</si>
  <si>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</si>
  <si>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</si>
  <si>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</si>
  <si>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</si>
  <si>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</si>
  <si>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</si>
  <si>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</si>
  <si>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</si>
  <si>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</si>
  <si>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</si>
  <si>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</si>
  <si>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</si>
  <si>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</si>
  <si>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</si>
  <si>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</si>
  <si>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</si>
  <si>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</si>
  <si>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</si>
  <si>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</si>
  <si>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</si>
  <si>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</si>
  <si>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</si>
  <si>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</si>
  <si>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</si>
  <si>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</si>
  <si>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</si>
  <si>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</si>
  <si>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</si>
  <si>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</si>
  <si>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</si>
  <si>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</si>
  <si>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</si>
  <si>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</si>
  <si>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</si>
  <si>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</si>
  <si>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</si>
  <si>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</si>
  <si>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</si>
  <si>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</si>
  <si>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</si>
  <si>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</si>
  <si>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</si>
  <si>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</si>
  <si>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</si>
  <si>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</si>
  <si>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</si>
  <si>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</si>
  <si>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</si>
  <si>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</si>
  <si>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</si>
  <si>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</si>
  <si>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</si>
  <si>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</si>
  <si>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</si>
  <si>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</si>
  <si>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</si>
  <si>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</si>
  <si>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</si>
  <si>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</si>
  <si>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</si>
  <si>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</si>
  <si>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</si>
  <si>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</si>
  <si>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</si>
  <si>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</si>
  <si>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</si>
  <si>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</si>
  <si>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</si>
  <si>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</si>
  <si>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</si>
  <si>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</si>
  <si>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</si>
  <si>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</si>
  <si>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</si>
  <si>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</si>
  <si>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</si>
  <si>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</si>
  <si>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</si>
  <si>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</si>
  <si>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</si>
  <si>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</si>
  <si>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</si>
  <si>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</si>
  <si>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</si>
  <si>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</si>
  <si>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</si>
  <si>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</si>
  <si>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</si>
  <si>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</si>
  <si>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</si>
  <si>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</si>
  <si>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</si>
  <si>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</si>
  <si>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</si>
  <si>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</si>
  <si>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</si>
  <si>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</si>
  <si>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</si>
  <si>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</si>
  <si>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</si>
  <si>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</si>
  <si>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</si>
  <si>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</si>
  <si>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</si>
  <si>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</si>
  <si>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</si>
  <si>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</si>
  <si>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</si>
  <si>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</si>
  <si>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</si>
  <si>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</si>
  <si>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</si>
  <si>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</si>
  <si>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</si>
  <si>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</si>
  <si>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</si>
  <si>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</si>
  <si>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</si>
  <si>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</si>
  <si>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</si>
  <si>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</si>
  <si>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</si>
  <si>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</si>
  <si>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</si>
  <si>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</si>
  <si>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</si>
  <si>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</si>
  <si>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</si>
  <si>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</si>
  <si>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</si>
  <si>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</si>
  <si>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</si>
  <si>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</si>
  <si>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</si>
  <si>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</si>
  <si>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</si>
  <si>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</si>
  <si>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</si>
  <si>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</si>
  <si>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</si>
  <si>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</si>
  <si>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</si>
  <si>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</si>
  <si>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</si>
  <si>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</si>
  <si>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</si>
  <si>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</si>
  <si>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</si>
  <si>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</si>
  <si>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</si>
  <si>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</si>
  <si>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</si>
  <si>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</si>
  <si>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</si>
  <si>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</si>
  <si>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</si>
  <si>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</si>
  <si>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</si>
  <si>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</si>
  <si>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</si>
  <si>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</si>
  <si>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</si>
  <si>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</si>
  <si>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</si>
  <si>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</si>
  <si>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</si>
  <si>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</si>
  <si>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</si>
  <si>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</si>
  <si>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</si>
  <si>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</si>
  <si>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</si>
  <si>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</si>
  <si>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</si>
  <si>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</si>
  <si>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</si>
  <si>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</si>
  <si>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</si>
  <si>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</si>
  <si>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</si>
  <si>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</si>
  <si>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</si>
  <si>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</si>
  <si>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</si>
  <si>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</si>
  <si>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</si>
  <si>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</si>
  <si>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</si>
  <si>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</si>
  <si>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</si>
  <si>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</si>
  <si>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</si>
  <si>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</si>
  <si>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</si>
  <si>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</si>
  <si>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</si>
  <si>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</si>
  <si>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</si>
  <si>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</si>
  <si>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</si>
  <si>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</si>
  <si>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</si>
  <si>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</si>
  <si>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</si>
  <si>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</si>
  <si>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</si>
  <si>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</si>
  <si>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</si>
  <si>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</si>
  <si>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</si>
  <si>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</si>
  <si>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</si>
  <si>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</si>
  <si>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</si>
  <si>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</si>
  <si>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</si>
  <si>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</si>
  <si>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</si>
  <si>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</si>
  <si>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</si>
  <si>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</si>
  <si>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</si>
  <si>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</si>
  <si>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</si>
  <si>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</si>
  <si>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</si>
  <si>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</si>
  <si>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</si>
  <si>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</si>
  <si>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</si>
  <si>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</si>
  <si>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</si>
  <si>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</si>
  <si>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</si>
  <si>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</si>
  <si>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</si>
  <si>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</si>
  <si>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</si>
  <si>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</si>
  <si>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</si>
  <si>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</si>
  <si>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</si>
  <si>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</si>
  <si>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</si>
  <si>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</si>
  <si>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</si>
  <si>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</si>
  <si>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</si>
  <si>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</si>
  <si>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</si>
  <si>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</si>
  <si>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</si>
  <si>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</si>
  <si>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</si>
  <si>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</si>
  <si>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</si>
  <si>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</si>
  <si>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</si>
  <si>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</si>
  <si>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</si>
  <si>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</si>
  <si>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</si>
  <si>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</si>
  <si>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</si>
  <si>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</si>
  <si>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</si>
  <si>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</si>
  <si>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</si>
  <si>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</si>
  <si>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</si>
  <si>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</si>
  <si>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</si>
  <si>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</si>
  <si>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</si>
  <si>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</si>
  <si>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</si>
  <si>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</si>
  <si>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</si>
  <si>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</si>
  <si>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</si>
  <si>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</si>
  <si>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</si>
  <si>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</si>
  <si>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</si>
  <si>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</si>
  <si>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</si>
  <si>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</si>
  <si>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</si>
  <si>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</si>
  <si>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</si>
  <si>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</si>
  <si>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</si>
  <si>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</si>
  <si>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</si>
  <si>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</si>
  <si>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</si>
  <si>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</si>
  <si>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</si>
  <si>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</si>
  <si>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</si>
  <si>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</si>
  <si>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</si>
  <si>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</si>
  <si>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</si>
  <si>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</si>
  <si>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</si>
  <si>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</si>
  <si>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</si>
  <si>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</si>
  <si>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</si>
  <si>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</si>
  <si>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</si>
  <si>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</si>
  <si>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</si>
  <si>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</si>
  <si>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</si>
  <si>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</si>
  <si>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</si>
  <si>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</si>
  <si>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</si>
  <si>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</si>
  <si>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</si>
  <si>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</si>
  <si>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</si>
  <si>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</si>
  <si>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</si>
  <si>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</si>
  <si>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</si>
  <si>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</si>
  <si>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</si>
  <si>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</si>
  <si>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</si>
  <si>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</si>
  <si>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</si>
  <si>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</si>
  <si>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</si>
  <si>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</si>
  <si>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</si>
  <si>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</si>
  <si>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</si>
  <si>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</si>
  <si>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</si>
  <si>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</si>
  <si>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</si>
  <si>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</si>
  <si>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</si>
  <si>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</si>
  <si>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</si>
  <si>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</si>
  <si>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</si>
  <si>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</si>
  <si>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</si>
  <si>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</si>
  <si>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</si>
  <si>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</si>
  <si>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</si>
  <si>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</si>
  <si>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</si>
  <si>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</si>
  <si>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</si>
  <si>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</si>
  <si>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</si>
  <si>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</si>
  <si>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</si>
  <si>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</si>
  <si>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</si>
  <si>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</si>
  <si>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</si>
  <si>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</si>
  <si>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</si>
  <si>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</si>
  <si>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</si>
  <si>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</si>
  <si>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</si>
  <si>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</si>
  <si>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</si>
  <si>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</si>
  <si>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</si>
  <si>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</si>
  <si>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</si>
  <si>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</si>
  <si>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</si>
  <si>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</si>
  <si>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</si>
  <si>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</si>
  <si>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</si>
  <si>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</si>
  <si>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</si>
  <si>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</si>
  <si>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</si>
  <si>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</si>
  <si>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</si>
  <si>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</si>
  <si>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</si>
  <si>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</si>
  <si>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</si>
  <si>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</si>
  <si>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</si>
  <si>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</si>
  <si>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</si>
  <si>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</si>
  <si>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</si>
  <si>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</si>
  <si>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</si>
  <si>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</si>
  <si>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</si>
  <si>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</si>
  <si>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</si>
  <si>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</si>
  <si>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</si>
  <si>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</si>
  <si>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</si>
  <si>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</si>
  <si>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</si>
  <si>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</si>
  <si>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</si>
  <si>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</si>
  <si>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</si>
  <si>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</si>
  <si>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</si>
  <si>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</si>
  <si>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</si>
  <si>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</si>
  <si>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</si>
  <si>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</si>
  <si>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</si>
  <si>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</si>
  <si>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</si>
  <si>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</si>
  <si>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</si>
  <si>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</si>
  <si>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</si>
  <si>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</si>
  <si>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</si>
  <si>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</si>
  <si>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</si>
  <si>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</si>
  <si>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</si>
  <si>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</si>
  <si>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</si>
  <si>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</si>
  <si>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</si>
  <si>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</si>
  <si>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</si>
  <si>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</si>
  <si>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</si>
  <si>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</si>
  <si>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</si>
  <si>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</si>
  <si>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</si>
  <si>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</si>
  <si>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</si>
  <si>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</si>
  <si>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</si>
  <si>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</si>
  <si>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</si>
  <si>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</si>
  <si>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</si>
  <si>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</si>
  <si>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</si>
  <si>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</si>
  <si>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</si>
  <si>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</si>
  <si>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</si>
  <si>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</si>
  <si>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</si>
  <si>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</si>
  <si>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</si>
  <si>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</si>
  <si>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</si>
  <si>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</si>
  <si>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</si>
  <si>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</si>
  <si>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</si>
  <si>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</si>
  <si>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</si>
  <si>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</si>
  <si>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</si>
  <si>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</si>
  <si>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</si>
  <si>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</si>
  <si>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</si>
  <si>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</si>
  <si>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</si>
  <si>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</si>
  <si>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</si>
  <si>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</si>
  <si>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</si>
  <si>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</si>
  <si>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</si>
  <si>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</si>
  <si>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</si>
  <si>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</si>
  <si>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</si>
  <si>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</si>
  <si>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</si>
  <si>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</si>
  <si>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</si>
  <si>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</si>
  <si>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</si>
  <si>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</si>
  <si>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</si>
  <si>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</si>
  <si>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</si>
  <si>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</si>
  <si>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</si>
  <si>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</si>
  <si>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</si>
  <si>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</si>
  <si>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</si>
  <si>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</si>
  <si>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</si>
  <si>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</si>
  <si>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</si>
  <si>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</si>
  <si>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</si>
  <si>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</si>
  <si>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</si>
  <si>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</si>
  <si>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</si>
  <si>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</si>
  <si>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</si>
  <si>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</si>
  <si>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</si>
  <si>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</si>
  <si>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</si>
  <si>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</si>
  <si>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</si>
  <si>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</si>
  <si>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</si>
  <si>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</si>
  <si>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</si>
  <si>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</si>
  <si>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</si>
  <si>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</si>
  <si>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</si>
  <si>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</si>
  <si>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</si>
  <si>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</si>
  <si>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</si>
  <si>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</si>
  <si>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</si>
  <si>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</si>
  <si>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</si>
  <si>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</si>
  <si>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</si>
  <si>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</si>
  <si>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</si>
  <si>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</si>
  <si>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</si>
  <si>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</si>
  <si>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</si>
  <si>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</si>
  <si>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</si>
  <si>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</si>
  <si>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</si>
  <si>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</si>
  <si>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</si>
  <si>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</si>
  <si>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</si>
  <si>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</si>
  <si>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</si>
  <si>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</si>
  <si>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</si>
  <si>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</si>
  <si>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</si>
  <si>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</si>
  <si>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</si>
  <si>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</si>
  <si>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</si>
  <si>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</si>
  <si>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</si>
  <si>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</si>
  <si>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</si>
  <si>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</si>
  <si>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</si>
  <si>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</si>
  <si>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</si>
  <si>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</si>
  <si>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</si>
  <si>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</si>
  <si>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</si>
  <si>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</si>
  <si>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</si>
  <si>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</si>
  <si>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</si>
  <si>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</si>
  <si>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</si>
  <si>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</si>
  <si>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</si>
  <si>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</si>
  <si>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</si>
  <si>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</si>
  <si>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</si>
  <si>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</si>
  <si>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</si>
  <si>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</si>
  <si>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</si>
  <si>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</si>
  <si>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</si>
  <si>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</si>
  <si>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</si>
  <si>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</si>
  <si>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</si>
  <si>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</si>
  <si>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</si>
  <si>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</si>
  <si>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</si>
  <si>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</si>
  <si>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</si>
  <si>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</si>
  <si>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</si>
  <si>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</si>
  <si>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</si>
  <si>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</si>
  <si>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</si>
  <si>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</si>
  <si>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</si>
  <si>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</si>
  <si>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</si>
  <si>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</si>
  <si>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</si>
  <si>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</si>
  <si>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</si>
  <si>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</si>
  <si>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</si>
  <si>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</si>
  <si>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</si>
  <si>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</si>
  <si>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</si>
  <si>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</si>
  <si>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</si>
  <si>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</si>
  <si>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</si>
  <si>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</si>
  <si>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</si>
  <si>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</si>
  <si>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</si>
  <si>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</si>
  <si>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</si>
  <si>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</si>
  <si>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</si>
  <si>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</si>
  <si>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</si>
  <si>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</si>
  <si>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</si>
  <si>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</si>
  <si>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</si>
  <si>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</si>
  <si>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</si>
  <si>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</si>
  <si>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</si>
  <si>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</si>
  <si>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</si>
  <si>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</si>
  <si>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</si>
  <si>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</si>
  <si>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</si>
  <si>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</si>
  <si>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</si>
  <si>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</si>
  <si>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</si>
  <si>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</si>
  <si>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</si>
  <si>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</si>
  <si>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</si>
  <si>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</si>
  <si>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</si>
  <si>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</si>
  <si>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</si>
  <si>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</si>
  <si>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</si>
  <si>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</si>
  <si>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</si>
  <si>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</si>
  <si>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</si>
  <si>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</si>
  <si>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</si>
  <si>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</si>
  <si>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</si>
  <si>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</si>
  <si>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</si>
  <si>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</si>
  <si>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</si>
  <si>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</si>
  <si>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</si>
  <si>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</si>
  <si>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</si>
  <si>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</si>
  <si>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</si>
  <si>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</si>
  <si>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</si>
  <si>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</si>
  <si>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</si>
  <si>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</si>
  <si>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</si>
  <si>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</si>
  <si>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</si>
  <si>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</si>
  <si>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</si>
  <si>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</si>
  <si>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</si>
  <si>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</si>
  <si>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</si>
  <si>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</si>
  <si>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</si>
  <si>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</si>
  <si>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</si>
  <si>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</si>
  <si>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</si>
  <si>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</si>
  <si>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</si>
  <si>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</si>
  <si>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</si>
  <si>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</si>
  <si>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</si>
  <si>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</si>
  <si>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</si>
  <si>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</si>
  <si>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</si>
  <si>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</si>
  <si>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</si>
  <si>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</si>
  <si>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</si>
  <si>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</si>
  <si>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</si>
  <si>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</si>
  <si>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</si>
  <si>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</si>
  <si>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</si>
  <si>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</si>
  <si>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</si>
  <si>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</si>
  <si>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</si>
  <si>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</si>
  <si>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</si>
  <si>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</si>
  <si>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</si>
  <si>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</si>
  <si>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</si>
  <si>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</si>
  <si>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</si>
  <si>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</si>
  <si>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</si>
  <si>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</si>
  <si>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</si>
  <si>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</si>
  <si>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</si>
  <si>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</si>
  <si>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</si>
  <si>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</si>
  <si>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</si>
  <si>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</si>
  <si>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</si>
  <si>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</si>
  <si>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</si>
  <si>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</si>
  <si>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</si>
  <si>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</si>
  <si>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</si>
  <si>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</si>
  <si>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</si>
  <si>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</si>
  <si>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</si>
  <si>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</si>
  <si>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</si>
  <si>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</si>
  <si>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</si>
  <si>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</si>
  <si>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</si>
  <si>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</si>
  <si>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</si>
  <si>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</si>
  <si>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</si>
  <si>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</si>
  <si>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</si>
  <si>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</si>
  <si>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</si>
  <si>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</si>
  <si>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</si>
  <si>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</si>
  <si>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</si>
  <si>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</si>
  <si>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</si>
  <si>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</si>
  <si>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</si>
  <si>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</si>
  <si>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</si>
  <si>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</si>
  <si>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</si>
  <si>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</si>
  <si>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</si>
  <si>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</si>
  <si>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</si>
  <si>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</si>
  <si>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</si>
  <si>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</si>
  <si>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</si>
  <si>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</si>
  <si>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</si>
  <si>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</si>
  <si>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</si>
  <si>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</si>
  <si>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</si>
  <si>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</si>
  <si>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</si>
  <si>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</si>
  <si>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</si>
  <si>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</si>
  <si>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</si>
  <si>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</si>
  <si>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</si>
  <si>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</si>
  <si>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</si>
  <si>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</si>
  <si>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</si>
  <si>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</si>
  <si>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</si>
  <si>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</si>
  <si>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</si>
  <si>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</si>
  <si>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</si>
  <si>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</si>
  <si>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</si>
  <si>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</si>
  <si>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</si>
  <si>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</si>
  <si>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</si>
  <si>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</si>
  <si>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</si>
  <si>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</si>
  <si>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</si>
  <si>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</si>
  <si>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</si>
  <si>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</si>
  <si>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</si>
  <si>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</si>
  <si>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</si>
  <si>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</si>
  <si>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</si>
  <si>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</si>
  <si>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</si>
  <si>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</si>
  <si>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</si>
  <si>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</si>
  <si>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</si>
  <si>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</si>
  <si>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</si>
  <si>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</si>
  <si>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</si>
  <si>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</si>
  <si>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</si>
  <si>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</si>
  <si>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</si>
  <si>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</si>
  <si>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</si>
  <si>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</si>
  <si>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</si>
  <si>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</si>
  <si>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</si>
  <si>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</si>
  <si>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</si>
  <si>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</si>
  <si>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</si>
  <si>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</si>
  <si>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</si>
  <si>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</si>
  <si>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</si>
  <si>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</si>
  <si>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</si>
  <si>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</si>
  <si>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</si>
  <si>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</si>
  <si>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</si>
  <si>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</si>
  <si>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</si>
  <si>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</si>
  <si>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</si>
  <si>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</si>
  <si>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</si>
  <si>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</si>
  <si>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</si>
  <si>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</si>
  <si>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</si>
  <si>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</si>
  <si>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</si>
  <si>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</si>
  <si>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</si>
  <si>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</si>
  <si>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</si>
  <si>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</si>
  <si>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</si>
  <si>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</si>
  <si>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</si>
  <si>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</si>
  <si>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</si>
  <si>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</si>
  <si>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</si>
  <si>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</si>
  <si>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</si>
  <si>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</si>
  <si>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</si>
  <si>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</si>
  <si>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</si>
  <si>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</si>
  <si>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</si>
  <si>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</si>
  <si>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</si>
  <si>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</si>
  <si>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</si>
  <si>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</si>
  <si>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</si>
  <si>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</si>
  <si>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</si>
  <si>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</si>
  <si>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</si>
  <si>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</si>
  <si>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</si>
  <si>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</si>
  <si>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</si>
  <si>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</si>
  <si>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</si>
  <si>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</si>
  <si>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</si>
  <si>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</si>
  <si>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</si>
  <si>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</si>
  <si>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</si>
  <si>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</si>
  <si>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</si>
  <si>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</si>
  <si>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</si>
  <si>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</si>
  <si>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</si>
  <si>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</si>
  <si>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</si>
  <si>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</si>
  <si>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</si>
  <si>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</si>
  <si>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</si>
  <si>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</si>
  <si>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</si>
  <si>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</si>
  <si>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</si>
  <si>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</si>
  <si>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</si>
  <si>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</si>
  <si>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</si>
  <si>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</si>
  <si>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</si>
  <si>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</si>
  <si>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</si>
  <si>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</si>
  <si>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</si>
  <si>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</si>
  <si>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</si>
  <si>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</si>
  <si>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</si>
  <si>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</si>
  <si>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</si>
  <si>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</si>
  <si>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</si>
  <si>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</si>
  <si>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</si>
  <si>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</si>
  <si>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</si>
  <si>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</si>
  <si>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</si>
  <si>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</si>
  <si>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</si>
  <si>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</si>
  <si>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</si>
  <si>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</si>
  <si>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</si>
  <si>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</si>
  <si>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</si>
  <si>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</si>
  <si>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</si>
  <si>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</si>
  <si>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</si>
  <si>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</si>
  <si>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</si>
  <si>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</si>
  <si>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</si>
  <si>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</si>
  <si>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</si>
  <si>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</si>
  <si>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</si>
  <si>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</si>
  <si>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</si>
  <si>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</si>
  <si>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</si>
  <si>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</si>
  <si>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</si>
  <si>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</si>
  <si>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</si>
  <si>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</si>
  <si>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</si>
  <si>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</si>
  <si>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</si>
  <si>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</si>
  <si>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</si>
  <si>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</si>
  <si>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</si>
  <si>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</si>
  <si>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</si>
  <si>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</si>
  <si>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</si>
  <si>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</si>
  <si>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</si>
  <si>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</si>
  <si>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</si>
  <si>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</si>
  <si>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</si>
  <si>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</si>
  <si>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</si>
  <si>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</si>
  <si>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</si>
  <si>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</si>
  <si>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</si>
  <si>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</si>
  <si>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</si>
  <si>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</si>
  <si>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</si>
  <si>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</si>
  <si>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</si>
  <si>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</si>
  <si>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</si>
  <si>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</si>
  <si>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</si>
  <si>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</si>
  <si>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</si>
  <si>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</si>
  <si>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</si>
  <si>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</si>
  <si>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</si>
  <si>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</si>
  <si>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</si>
  <si>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</si>
  <si>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</si>
  <si>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</si>
  <si>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</si>
  <si>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</si>
  <si>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</si>
  <si>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</si>
  <si>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</si>
  <si>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</si>
  <si>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</si>
  <si>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</si>
  <si>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</si>
  <si>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</si>
  <si>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</si>
  <si>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</si>
  <si>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</si>
  <si>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</si>
  <si>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</si>
  <si>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</si>
  <si>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</si>
  <si>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</si>
  <si>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</si>
  <si>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</si>
  <si>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</si>
  <si>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</si>
  <si>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</si>
  <si>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</si>
  <si>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</si>
  <si>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</si>
  <si>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</si>
  <si>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</si>
  <si>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</si>
  <si>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</si>
  <si>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</si>
  <si>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</si>
  <si>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</si>
  <si>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</si>
  <si>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</si>
  <si>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</si>
  <si>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</si>
  <si>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</si>
  <si>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</si>
  <si>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</si>
  <si>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</si>
  <si>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</si>
  <si>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</si>
  <si>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</si>
  <si>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</si>
  <si>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</si>
  <si>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</si>
  <si>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</si>
  <si>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</si>
  <si>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</si>
  <si>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</si>
  <si>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</si>
  <si>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</si>
  <si>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</si>
  <si>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</si>
  <si>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</si>
  <si>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</si>
  <si>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</si>
  <si>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</si>
  <si>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</si>
  <si>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</si>
  <si>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</si>
  <si>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</si>
  <si>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</si>
  <si>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</si>
  <si>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</si>
  <si>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</si>
  <si>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</si>
  <si>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</si>
  <si>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</si>
  <si>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</si>
  <si>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</si>
  <si>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</si>
  <si>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</si>
  <si>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</si>
  <si>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</si>
  <si>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</si>
  <si>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</si>
  <si>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</si>
  <si>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</si>
  <si>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</si>
  <si>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</si>
  <si>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</si>
  <si>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</si>
  <si>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</si>
  <si>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</si>
  <si>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</si>
  <si>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</si>
  <si>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</si>
  <si>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</si>
  <si>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</si>
  <si>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</si>
  <si>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</si>
  <si>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</si>
  <si>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</si>
  <si>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</si>
  <si>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</si>
  <si>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</si>
  <si>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</si>
  <si>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</si>
  <si>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</si>
  <si>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</si>
  <si>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</si>
  <si>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</si>
  <si>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</si>
  <si>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</si>
  <si>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</si>
  <si>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</si>
  <si>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</si>
  <si>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</si>
  <si>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</si>
  <si>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</si>
  <si>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</si>
  <si>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</si>
  <si>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</si>
  <si>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</si>
  <si>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</si>
  <si>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</si>
  <si>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</si>
  <si>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</si>
  <si>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</si>
  <si>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</si>
  <si>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</si>
  <si>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</si>
  <si>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</si>
  <si>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</si>
  <si>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</si>
  <si>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</si>
  <si>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</si>
  <si>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</si>
  <si>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</si>
  <si>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</si>
  <si>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</si>
  <si>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</si>
  <si>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</si>
  <si>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</si>
  <si>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</si>
  <si>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</si>
  <si>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</si>
  <si>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</si>
  <si>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</si>
  <si>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</si>
  <si>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</si>
  <si>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</si>
  <si>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</si>
  <si>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</si>
  <si>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</si>
  <si>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</si>
  <si>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</si>
  <si>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</si>
  <si>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</si>
  <si>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</si>
  <si>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</si>
  <si>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</si>
  <si>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</si>
  <si>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</si>
  <si>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</si>
  <si>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</si>
  <si>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</si>
  <si>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</si>
  <si>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</si>
  <si>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</si>
  <si>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</si>
  <si>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</si>
  <si>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</si>
  <si>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</si>
  <si>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</si>
  <si>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</si>
  <si>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</si>
  <si>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</si>
  <si>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</si>
  <si>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</si>
  <si>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</si>
  <si>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</si>
  <si>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</si>
  <si>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</si>
  <si>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</si>
  <si>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</si>
  <si>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</si>
  <si>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</si>
  <si>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</si>
  <si>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</si>
  <si>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</si>
  <si>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</si>
  <si>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</si>
  <si>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</si>
  <si>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</si>
  <si>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</si>
  <si>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</si>
  <si>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</si>
  <si>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</si>
  <si>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</si>
  <si>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</si>
  <si>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</si>
  <si>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</si>
  <si>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</si>
  <si>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</si>
  <si>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</si>
  <si>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</si>
  <si>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</si>
  <si>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</si>
  <si>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</si>
  <si>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</si>
  <si>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</si>
  <si>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</si>
  <si>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</si>
  <si>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</si>
  <si>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</si>
  <si>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</si>
  <si>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</si>
  <si>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</si>
  <si>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</si>
  <si>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</si>
  <si>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</si>
  <si>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</si>
  <si>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</si>
  <si>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</si>
  <si>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</si>
  <si>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</si>
  <si>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</si>
  <si>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</si>
  <si>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</si>
  <si>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</si>
  <si>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</si>
  <si>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</si>
  <si>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</si>
  <si>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</si>
  <si>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</si>
  <si>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</si>
  <si>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</si>
  <si>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</si>
  <si>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</si>
  <si>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</si>
  <si>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</si>
  <si>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</si>
  <si>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</si>
  <si>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</si>
  <si>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</si>
  <si>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</si>
  <si>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</si>
  <si>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</si>
  <si>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</si>
  <si>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</si>
  <si>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</si>
  <si>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</si>
  <si>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</si>
  <si>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</si>
  <si>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</si>
  <si>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</si>
  <si>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</si>
  <si>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</si>
  <si>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</si>
  <si>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</si>
  <si>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</si>
  <si>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</si>
  <si>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</si>
  <si>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</si>
  <si>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</si>
  <si>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</si>
  <si>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</si>
  <si>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</si>
  <si>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</si>
  <si>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</si>
  <si>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</si>
  <si>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</si>
  <si>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</si>
  <si>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</si>
  <si>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</si>
  <si>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</si>
  <si>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</si>
  <si>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</si>
  <si>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</si>
  <si>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</si>
  <si>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</si>
  <si>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</si>
  <si>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</si>
  <si>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</si>
  <si>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</si>
  <si>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</si>
  <si>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</si>
  <si>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</si>
  <si>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</si>
  <si>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</si>
  <si>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</si>
  <si>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</si>
  <si>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</si>
  <si>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</si>
  <si>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</si>
  <si>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</si>
  <si>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</si>
  <si>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</si>
  <si>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</si>
  <si>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</si>
  <si>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</si>
  <si>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</si>
  <si>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</si>
  <si>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</si>
  <si>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</si>
  <si>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</si>
  <si>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</si>
  <si>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</si>
  <si>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</si>
  <si>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</si>
  <si>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</si>
  <si>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</si>
  <si>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</si>
  <si>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</si>
  <si>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</si>
  <si>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</si>
  <si>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</si>
  <si>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</si>
  <si>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</si>
  <si>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</si>
  <si>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</si>
  <si>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</si>
  <si>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</si>
  <si>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</si>
  <si>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</si>
  <si>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</si>
  <si>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</si>
  <si>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</si>
  <si>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</si>
  <si>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</si>
  <si>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</si>
  <si>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</si>
  <si>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</si>
  <si>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</si>
  <si>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</si>
  <si>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</si>
  <si>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</si>
  <si>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</si>
  <si>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</si>
  <si>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</si>
  <si>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</si>
  <si>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</si>
  <si>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</si>
  <si>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</si>
  <si>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</si>
  <si>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</si>
  <si>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</si>
  <si>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</si>
  <si>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</si>
  <si>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</si>
  <si>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</si>
  <si>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</si>
  <si>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</si>
  <si>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</si>
  <si>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</si>
  <si>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</si>
  <si>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</si>
  <si>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</si>
  <si>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</si>
  <si>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</si>
  <si>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</si>
  <si>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</si>
  <si>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</si>
  <si>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</si>
  <si>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</si>
  <si>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</si>
  <si>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</si>
  <si>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</si>
  <si>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</si>
  <si>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</si>
  <si>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</si>
  <si>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</si>
  <si>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</si>
  <si>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</si>
  <si>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</si>
  <si>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</si>
  <si>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</si>
  <si>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</si>
  <si>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</si>
  <si>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</si>
  <si>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</si>
  <si>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</si>
  <si>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</si>
  <si>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</si>
  <si>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</si>
  <si>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</si>
  <si>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</si>
  <si>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</si>
  <si>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</si>
  <si>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</si>
  <si>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</si>
  <si>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</si>
  <si>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</si>
  <si>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</si>
  <si>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</si>
  <si>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</si>
  <si>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</si>
  <si>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</si>
  <si>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</si>
  <si>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</si>
  <si>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</si>
  <si>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</si>
  <si>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</si>
  <si>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</si>
  <si>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</si>
  <si>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</si>
  <si>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</si>
  <si>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</si>
  <si>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</si>
  <si>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</si>
  <si>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</si>
  <si>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</si>
  <si>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</si>
  <si>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</si>
  <si>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</si>
  <si>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</si>
  <si>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</si>
  <si>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</si>
  <si>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</si>
  <si>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</si>
  <si>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</si>
  <si>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</si>
  <si>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</si>
  <si>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</si>
  <si>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</si>
  <si>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</si>
  <si>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</si>
  <si>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</si>
  <si>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</si>
  <si>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</si>
  <si>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</si>
  <si>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</si>
  <si>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</si>
  <si>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</si>
  <si>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</si>
  <si>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</si>
  <si>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</si>
  <si>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</si>
  <si>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</si>
  <si>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</si>
  <si>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</si>
  <si>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</si>
  <si>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</si>
  <si>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</si>
  <si>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</si>
  <si>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</si>
  <si>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</si>
  <si>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</si>
  <si>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</si>
  <si>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</si>
  <si>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</si>
  <si>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</si>
  <si>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</si>
  <si>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</si>
  <si>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</si>
  <si>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</si>
  <si>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</si>
  <si>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</si>
  <si>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</si>
  <si>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</si>
  <si>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</si>
  <si>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</si>
  <si>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</si>
  <si>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</si>
  <si>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</si>
  <si>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</si>
  <si>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</si>
  <si>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</si>
  <si>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</si>
  <si>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</si>
  <si>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</si>
  <si>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</si>
  <si>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</si>
  <si>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</si>
  <si>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</si>
  <si>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</si>
  <si>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</si>
  <si>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</si>
  <si>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</si>
  <si>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</si>
  <si>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</si>
  <si>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</si>
  <si>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</si>
  <si>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</si>
  <si>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</si>
  <si>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</si>
  <si>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</si>
  <si>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</si>
  <si>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</si>
  <si>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</si>
  <si>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</si>
  <si>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</si>
  <si>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</si>
  <si>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</si>
  <si>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</si>
  <si>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</si>
  <si>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</si>
  <si>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</si>
  <si>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</si>
  <si>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</si>
  <si>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</si>
  <si>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</si>
  <si>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</si>
  <si>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</si>
  <si>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</si>
  <si>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</si>
  <si>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</si>
  <si>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</si>
  <si>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</si>
  <si>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</si>
  <si>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</si>
  <si>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</si>
  <si>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</si>
  <si>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</si>
  <si>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</si>
  <si>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</si>
  <si>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</si>
  <si>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</si>
  <si>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</si>
  <si>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</si>
  <si>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</si>
  <si>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</si>
  <si>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</si>
  <si>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</si>
  <si>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</si>
  <si>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</si>
  <si>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</si>
  <si>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</si>
  <si>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</si>
  <si>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</si>
  <si>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</si>
  <si>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</si>
  <si>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</si>
  <si>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</si>
  <si>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</si>
  <si>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</si>
  <si>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</si>
  <si>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</si>
  <si>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</si>
  <si>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</si>
  <si>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</si>
  <si>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</si>
  <si>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</si>
  <si>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</si>
  <si>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</si>
  <si>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</si>
  <si>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</si>
  <si>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</si>
  <si>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</si>
  <si>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</si>
  <si>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</si>
  <si>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</si>
  <si>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</si>
  <si>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</si>
  <si>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</si>
  <si>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</si>
  <si>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</si>
  <si>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</si>
  <si>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</si>
  <si>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</si>
  <si>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</si>
  <si>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</si>
  <si>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</si>
  <si>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</si>
  <si>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</si>
  <si>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</si>
  <si>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</si>
  <si>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</si>
  <si>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</si>
  <si>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</si>
  <si>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</si>
  <si>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</si>
  <si>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</si>
  <si>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</si>
  <si>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</si>
  <si>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</si>
  <si>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</si>
  <si>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</si>
  <si>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</si>
  <si>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</si>
  <si>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</si>
  <si>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</si>
  <si>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</si>
  <si>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</si>
  <si>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</si>
  <si>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</si>
  <si>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</si>
  <si>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</si>
  <si>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</si>
  <si>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</si>
  <si>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</si>
  <si>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</si>
  <si>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</si>
  <si>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</si>
  <si>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</si>
  <si>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</si>
  <si>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</si>
  <si>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</si>
  <si>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</si>
  <si>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</si>
  <si>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</si>
  <si>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</si>
  <si>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</si>
  <si>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</si>
  <si>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</si>
  <si>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</si>
  <si>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</si>
  <si>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</si>
  <si>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</si>
  <si>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</si>
  <si>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</si>
  <si>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</si>
  <si>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</si>
  <si>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</si>
  <si>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</si>
  <si>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</si>
  <si>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</si>
  <si>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</si>
  <si>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</si>
  <si>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</si>
  <si>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</si>
  <si>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</si>
  <si>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</si>
  <si>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</si>
  <si>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</si>
  <si>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</si>
  <si>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</si>
  <si>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</si>
  <si>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</si>
  <si>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</si>
  <si>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</si>
  <si>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</si>
  <si>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</si>
  <si>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</si>
  <si>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</si>
  <si>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</si>
  <si>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</si>
  <si>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</si>
  <si>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</si>
  <si>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</si>
  <si>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</si>
  <si>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</si>
  <si>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</si>
  <si>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</si>
  <si>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</si>
  <si>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</si>
  <si>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</si>
  <si>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</si>
  <si>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</si>
  <si>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</si>
  <si>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</si>
  <si>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</si>
  <si>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</si>
  <si>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</si>
  <si>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</si>
  <si>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</si>
  <si>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</si>
  <si>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</si>
  <si>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</si>
  <si>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</si>
  <si>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</si>
  <si>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</si>
  <si>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</si>
  <si>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</si>
  <si>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</si>
  <si>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</si>
  <si>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</si>
  <si>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</si>
  <si>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</si>
  <si>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</si>
  <si>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</si>
  <si>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</si>
  <si>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</si>
  <si>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</si>
  <si>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</si>
  <si>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</si>
  <si>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</si>
  <si>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</si>
  <si>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</si>
  <si>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</si>
  <si>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</si>
  <si>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</si>
  <si>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</si>
  <si>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</si>
  <si>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</si>
  <si>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</si>
  <si>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</si>
  <si>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</si>
  <si>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</si>
  <si>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</si>
  <si>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</si>
  <si>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</si>
  <si>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</si>
  <si>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</si>
  <si>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</si>
  <si>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</si>
  <si>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</si>
  <si>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</si>
  <si>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</si>
  <si>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</si>
  <si>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</si>
  <si>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</si>
  <si>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</si>
  <si>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</si>
  <si>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</si>
  <si>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</si>
  <si>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</si>
  <si>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</si>
  <si>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</si>
  <si>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</si>
  <si>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</si>
  <si>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</si>
  <si>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</si>
  <si>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</si>
  <si>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</si>
  <si>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</si>
  <si>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</si>
  <si>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</si>
  <si>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</si>
  <si>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</si>
  <si>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</si>
  <si>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</si>
  <si>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</si>
  <si>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</si>
  <si>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</si>
  <si>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</si>
  <si>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</si>
  <si>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</si>
  <si>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</si>
  <si>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</si>
  <si>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</si>
  <si>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</si>
  <si>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</si>
  <si>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</si>
  <si>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</si>
  <si>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</si>
  <si>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</si>
  <si>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</si>
  <si>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</si>
  <si>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</si>
  <si>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</si>
  <si>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</si>
  <si>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</si>
  <si>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</si>
  <si>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</si>
  <si>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</si>
  <si>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</si>
  <si>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</si>
  <si>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</si>
  <si>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</si>
  <si>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</si>
  <si>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</si>
  <si>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</si>
  <si>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</si>
  <si>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</si>
  <si>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</si>
  <si>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</si>
  <si>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</si>
  <si>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</si>
  <si>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</si>
  <si>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</si>
  <si>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</si>
  <si>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</si>
  <si>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</si>
  <si>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</si>
  <si>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</si>
  <si>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</si>
  <si>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</si>
  <si>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</si>
  <si>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</si>
  <si>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</si>
  <si>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</si>
  <si>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</si>
  <si>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</si>
  <si>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</si>
  <si>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</si>
  <si>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</si>
  <si>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</si>
  <si>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</si>
  <si>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</si>
  <si>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</si>
  <si>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</si>
  <si>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</si>
  <si>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</si>
  <si>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</si>
  <si>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</si>
  <si>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</si>
  <si>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</si>
  <si>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</si>
  <si>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</si>
  <si>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</si>
  <si>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</si>
  <si>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</si>
  <si>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</si>
  <si>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</si>
  <si>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</si>
  <si>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</si>
  <si>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</si>
  <si>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</si>
  <si>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</si>
  <si>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</si>
  <si>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</si>
  <si>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</si>
  <si>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</si>
  <si>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</si>
  <si>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</si>
  <si>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</si>
  <si>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</si>
  <si>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</si>
  <si>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</si>
  <si>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</si>
  <si>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</si>
  <si>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</si>
  <si>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</si>
  <si>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</si>
  <si>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</si>
  <si>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</si>
  <si>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</si>
  <si>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</si>
  <si>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</si>
  <si>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</si>
  <si>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</si>
  <si>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</si>
  <si>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</si>
  <si>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</si>
  <si>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</si>
  <si>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</si>
  <si>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</si>
  <si>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</si>
  <si>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</si>
  <si>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</si>
  <si>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</si>
  <si>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</si>
  <si>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</si>
  <si>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</si>
  <si>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</si>
  <si>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</si>
  <si>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</si>
  <si>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</si>
  <si>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</si>
  <si>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</si>
  <si>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</si>
  <si>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</si>
  <si>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</si>
  <si>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</si>
  <si>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</si>
  <si>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</si>
  <si>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</si>
  <si>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</si>
  <si>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</si>
  <si>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</si>
  <si>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</si>
  <si>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</si>
  <si>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</si>
  <si>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</si>
  <si>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</si>
  <si>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</si>
  <si>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</si>
  <si>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</si>
  <si>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</si>
  <si>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</si>
  <si>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</si>
  <si>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</si>
  <si>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</si>
  <si>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</si>
  <si>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</si>
  <si>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</si>
  <si>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</si>
  <si>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</si>
  <si>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</si>
  <si>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</si>
  <si>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</si>
  <si>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</si>
  <si>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</si>
  <si>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</si>
  <si>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</si>
  <si>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</si>
  <si>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</si>
  <si>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</si>
  <si>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</si>
  <si>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</si>
  <si>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</si>
  <si>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</si>
  <si>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</si>
  <si>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</si>
  <si>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</si>
  <si>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</si>
  <si>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</si>
  <si>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</si>
  <si>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</si>
  <si>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</si>
  <si>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</si>
  <si>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</si>
  <si>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</si>
  <si>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</si>
  <si>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</si>
  <si>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</si>
  <si>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</si>
  <si>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</si>
  <si>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</si>
  <si>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</si>
  <si>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</si>
  <si>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</si>
  <si>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</si>
  <si>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</si>
  <si>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</si>
  <si>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</si>
  <si>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</si>
  <si>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</si>
  <si>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</si>
  <si>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</si>
  <si>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</si>
  <si>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</si>
  <si>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</si>
  <si>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</si>
  <si>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</si>
  <si>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</si>
  <si>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</si>
  <si>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</si>
  <si>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</si>
  <si>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</si>
  <si>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</si>
  <si>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</si>
  <si>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</si>
  <si>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</si>
  <si>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</si>
  <si>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</si>
  <si>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</si>
  <si>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</si>
  <si>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</si>
  <si>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</si>
  <si>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</si>
  <si>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</si>
  <si>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</si>
  <si>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</si>
  <si>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</si>
  <si>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</si>
  <si>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</si>
  <si>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</si>
  <si>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</si>
  <si>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</si>
  <si>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</si>
  <si>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</si>
  <si>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</si>
  <si>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</si>
  <si>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</si>
  <si>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</si>
  <si>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</si>
  <si>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</si>
  <si>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</si>
  <si>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</si>
  <si>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</si>
  <si>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</si>
  <si>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</si>
  <si>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</si>
  <si>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</si>
  <si>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</si>
  <si>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</si>
  <si>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</si>
  <si>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</si>
  <si>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</si>
  <si>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</si>
  <si>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</si>
  <si>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</si>
  <si>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</si>
  <si>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</si>
  <si>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</si>
  <si>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</si>
  <si>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</si>
  <si>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</si>
  <si>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</si>
  <si>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</si>
  <si>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</si>
  <si>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</si>
  <si>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</si>
  <si>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</si>
  <si>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</si>
  <si>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</si>
  <si>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</si>
  <si>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</si>
  <si>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</si>
  <si>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</si>
  <si>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</si>
  <si>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</si>
  <si>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</si>
  <si>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</si>
  <si>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</si>
  <si>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</si>
  <si>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</si>
  <si>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</si>
  <si>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</si>
  <si>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</si>
  <si>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</si>
  <si>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</si>
  <si>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</si>
  <si>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</si>
  <si>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</si>
  <si>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</si>
  <si>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</si>
  <si>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</si>
  <si>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</si>
  <si>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</si>
  <si>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</si>
  <si>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</si>
  <si>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</si>
  <si>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</si>
  <si>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</si>
  <si>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</si>
  <si>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</si>
  <si>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</si>
  <si>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</si>
  <si>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</si>
  <si>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</si>
  <si>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</si>
  <si>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</si>
  <si>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</si>
  <si>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</si>
  <si>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</si>
  <si>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</si>
  <si>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</si>
  <si>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</si>
  <si>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</si>
  <si>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</si>
  <si>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</si>
  <si>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</si>
  <si>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</si>
  <si>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</si>
  <si>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</si>
  <si>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</si>
  <si>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</si>
  <si>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</si>
  <si>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</si>
  <si>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</si>
  <si>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</si>
  <si>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</si>
  <si>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</si>
  <si>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</si>
  <si>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</si>
  <si>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</si>
  <si>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</si>
  <si>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</si>
  <si>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</si>
  <si>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</si>
  <si>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</si>
  <si>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</si>
  <si>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</si>
  <si>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</si>
  <si>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</si>
  <si>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</si>
  <si>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</si>
  <si>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</si>
  <si>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</si>
  <si>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</si>
  <si>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</si>
  <si>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</si>
  <si>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</si>
  <si>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</si>
  <si>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</si>
  <si>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</si>
  <si>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</si>
  <si>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</si>
  <si>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</si>
  <si>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</si>
  <si>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</si>
  <si>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</si>
  <si>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</si>
  <si>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</si>
  <si>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</si>
  <si>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</si>
  <si>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</si>
  <si>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</si>
  <si>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</si>
  <si>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</si>
  <si>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</si>
  <si>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</si>
  <si>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</si>
  <si>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</si>
  <si>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</si>
  <si>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</si>
  <si>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</si>
  <si>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</si>
  <si>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</si>
  <si>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</si>
  <si>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</si>
  <si>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</si>
  <si>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</si>
  <si>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</si>
  <si>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</si>
  <si>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</si>
  <si>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</si>
  <si>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</si>
  <si>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</si>
  <si>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</si>
  <si>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</si>
  <si>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</si>
  <si>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</si>
  <si>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</si>
  <si>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</si>
  <si>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</si>
  <si>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</si>
  <si>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</si>
  <si>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</si>
  <si>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</si>
  <si>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</si>
  <si>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</si>
  <si>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</si>
  <si>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</si>
  <si>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</si>
  <si>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</si>
  <si>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</si>
  <si>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</si>
  <si>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</si>
  <si>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</si>
  <si>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</si>
  <si>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</si>
  <si>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</si>
  <si>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</si>
  <si>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</si>
  <si>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</si>
  <si>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</si>
  <si>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</si>
  <si>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</si>
  <si>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</si>
  <si>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</si>
  <si>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</si>
  <si>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</si>
  <si>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</si>
  <si>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</si>
  <si>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</si>
  <si>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</si>
  <si>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</si>
  <si>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</si>
  <si>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</si>
  <si>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</si>
  <si>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</si>
  <si>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</si>
  <si>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</si>
  <si>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</si>
  <si>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</si>
  <si>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</si>
  <si>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</si>
  <si>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</si>
  <si>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</si>
  <si>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</si>
  <si>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</si>
  <si>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</si>
  <si>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</si>
  <si>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</si>
  <si>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</si>
  <si>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</si>
  <si>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</si>
  <si>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</si>
  <si>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</si>
  <si>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</si>
  <si>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</si>
  <si>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</si>
  <si>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</si>
  <si>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</si>
  <si>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</si>
  <si>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</si>
  <si>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</si>
  <si>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</si>
  <si>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</si>
  <si>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</si>
  <si>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</si>
  <si>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</si>
  <si>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</si>
  <si>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</si>
  <si>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</si>
  <si>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</si>
  <si>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</si>
  <si>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</si>
  <si>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</si>
  <si>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</si>
  <si>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</si>
  <si>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</si>
  <si>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</si>
  <si>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</si>
  <si>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</si>
  <si>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</si>
  <si>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</si>
  <si>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</si>
  <si>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</si>
  <si>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</si>
  <si>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</si>
  <si>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</si>
  <si>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</si>
  <si>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</si>
  <si>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</si>
  <si>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</si>
  <si>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</si>
  <si>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</si>
  <si>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</si>
  <si>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</si>
  <si>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</si>
  <si>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</si>
  <si>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</si>
  <si>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</si>
  <si>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</si>
  <si>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</si>
  <si>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</si>
  <si>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</si>
  <si>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</si>
  <si>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</si>
  <si>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</si>
  <si>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</si>
  <si>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</si>
  <si>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</si>
  <si>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</si>
  <si>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</si>
  <si>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</si>
  <si>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</si>
  <si>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</si>
  <si>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</si>
  <si>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</si>
  <si>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</si>
  <si>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</si>
  <si>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</si>
  <si>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</si>
  <si>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</si>
  <si>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</si>
  <si>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</si>
  <si>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</si>
  <si>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</si>
  <si>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</si>
  <si>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</si>
  <si>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</si>
  <si>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</si>
  <si>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</si>
  <si>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</si>
  <si>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</si>
  <si>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</si>
  <si>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</si>
  <si>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</si>
  <si>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</si>
  <si>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</si>
  <si>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</si>
  <si>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</si>
  <si>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</si>
  <si>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</si>
  <si>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</si>
  <si>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</si>
  <si>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</si>
  <si>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</si>
  <si>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</si>
  <si>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</si>
  <si>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</si>
  <si>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</si>
  <si>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</si>
  <si>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</si>
  <si>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</si>
  <si>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</si>
  <si>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</si>
  <si>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</si>
  <si>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</si>
  <si>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</si>
  <si>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</si>
  <si>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</si>
  <si>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</si>
  <si>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</si>
  <si>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</si>
  <si>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</si>
  <si>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</si>
  <si>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</si>
  <si>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</si>
  <si>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</si>
  <si>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</si>
  <si>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</si>
  <si>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</si>
  <si>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</si>
  <si>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</si>
  <si>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</si>
  <si>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</si>
  <si>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</si>
  <si>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</si>
  <si>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</si>
  <si>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</si>
  <si>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</si>
  <si>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</si>
  <si>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</si>
  <si>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</si>
  <si>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</si>
  <si>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</si>
  <si>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</si>
  <si>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</si>
  <si>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</si>
  <si>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</si>
  <si>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</si>
  <si>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</si>
  <si>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</si>
  <si>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</si>
  <si>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</si>
  <si>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</si>
  <si>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</si>
  <si>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</si>
  <si>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</si>
  <si>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</si>
  <si>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</si>
  <si>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</si>
  <si>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</si>
  <si>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</si>
  <si>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</si>
  <si>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</si>
  <si>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</si>
  <si>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</si>
  <si>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</si>
  <si>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</si>
  <si>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</si>
  <si>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</si>
  <si>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</si>
  <si>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</si>
  <si>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</si>
  <si>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</si>
  <si>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</si>
  <si>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</si>
  <si>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</si>
  <si>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</si>
  <si>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</si>
  <si>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</si>
  <si>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</si>
  <si>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</si>
  <si>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</si>
  <si>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</si>
  <si>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</si>
  <si>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</si>
  <si>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</si>
  <si>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</si>
  <si>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</si>
  <si>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</si>
  <si>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</si>
  <si>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</si>
  <si>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</si>
  <si>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</si>
  <si>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</si>
  <si>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</si>
  <si>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</si>
  <si>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</si>
  <si>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</si>
  <si>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</si>
  <si>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</si>
  <si>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</si>
  <si>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</si>
  <si>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</si>
  <si>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</si>
  <si>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</si>
  <si>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</si>
  <si>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</si>
  <si>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</si>
  <si>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</si>
  <si>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</si>
  <si>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</si>
  <si>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</si>
  <si>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</si>
  <si>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</si>
  <si>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</si>
  <si>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</si>
  <si>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</si>
  <si>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</si>
  <si>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</si>
  <si>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</si>
  <si>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</si>
  <si>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</si>
  <si>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</si>
  <si>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</si>
  <si>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</si>
  <si>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</si>
  <si>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</si>
  <si>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</si>
  <si>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</si>
  <si>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</si>
  <si>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</si>
  <si>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</si>
  <si>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</si>
  <si>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</si>
  <si>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</si>
  <si>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</si>
  <si>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</si>
  <si>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</si>
  <si>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</si>
  <si>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</si>
  <si>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</si>
  <si>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</si>
  <si>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</si>
  <si>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</si>
  <si>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</si>
  <si>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</si>
  <si>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</si>
  <si>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</si>
  <si>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</si>
  <si>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</si>
  <si>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</si>
  <si>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</si>
  <si>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</si>
  <si>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</si>
  <si>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</si>
  <si>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</si>
  <si>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</si>
  <si>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</si>
  <si>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</si>
  <si>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</si>
  <si>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</si>
  <si>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</si>
  <si>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</si>
  <si>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</si>
  <si>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</si>
  <si>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</si>
  <si>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</si>
  <si>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</si>
  <si>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</si>
  <si>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</si>
  <si>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</si>
  <si>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</si>
  <si>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</si>
  <si>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</si>
  <si>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</si>
  <si>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</si>
  <si>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</si>
  <si>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</si>
  <si>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</si>
  <si>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</si>
  <si>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</si>
  <si>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</si>
  <si>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</si>
  <si>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</si>
  <si>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</si>
  <si>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</si>
  <si>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</si>
  <si>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</si>
  <si>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</si>
  <si>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</si>
  <si>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</si>
  <si>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</si>
  <si>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</si>
  <si>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</si>
  <si>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</si>
  <si>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</si>
  <si>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</si>
  <si>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</si>
  <si>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</si>
  <si>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</si>
  <si>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</si>
  <si>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</si>
  <si>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</si>
  <si>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</si>
  <si>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</si>
  <si>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</si>
  <si>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</si>
  <si>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</si>
  <si>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</si>
  <si>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</si>
  <si>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</si>
  <si>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</si>
  <si>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</si>
  <si>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</si>
  <si>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</si>
  <si>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</si>
  <si>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</si>
  <si>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</si>
  <si>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</si>
  <si>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</si>
  <si>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</si>
  <si>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</si>
  <si>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</si>
  <si>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</si>
  <si>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</si>
  <si>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</si>
  <si>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</si>
  <si>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</si>
  <si>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</si>
  <si>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</si>
  <si>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</si>
  <si>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</si>
  <si>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</si>
  <si>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</si>
  <si>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</si>
  <si>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</si>
  <si>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</si>
  <si>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</si>
  <si>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</si>
  <si>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</si>
  <si>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</si>
  <si>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</si>
  <si>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</si>
  <si>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</si>
  <si>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</si>
  <si>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</si>
  <si>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</si>
  <si>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</si>
  <si>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</si>
  <si>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</si>
  <si>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</si>
  <si>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</si>
  <si>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</si>
  <si>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</si>
  <si>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</si>
  <si>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</si>
  <si>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</si>
  <si>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</si>
  <si>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</si>
  <si>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</si>
  <si>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</si>
  <si>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</si>
  <si>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</si>
  <si>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</si>
  <si>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</si>
  <si>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</si>
  <si>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</si>
  <si>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</si>
  <si>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</si>
  <si>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</si>
  <si>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</si>
  <si>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</si>
  <si>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</si>
  <si>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</si>
  <si>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</si>
  <si>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</si>
  <si>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</si>
  <si>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</si>
  <si>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</si>
  <si>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</si>
  <si>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</si>
  <si>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</si>
  <si>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</si>
  <si>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</si>
  <si>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</si>
  <si>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</si>
  <si>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</si>
  <si>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</si>
  <si>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</si>
  <si>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</si>
  <si>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</si>
  <si>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</si>
  <si>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</si>
  <si>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</si>
  <si>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</si>
  <si>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</si>
  <si>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</si>
  <si>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</si>
  <si>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</si>
  <si>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</si>
  <si>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</si>
  <si>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</si>
  <si>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</si>
  <si>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</si>
  <si>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</si>
  <si>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</si>
  <si>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</si>
  <si>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</si>
  <si>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</si>
  <si>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</si>
  <si>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</si>
  <si>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</si>
  <si>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</si>
  <si>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</si>
  <si>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</si>
  <si>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</si>
  <si>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</si>
  <si>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</si>
  <si>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</si>
  <si>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</si>
  <si>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</si>
  <si>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</si>
  <si>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</si>
  <si>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</si>
  <si>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</si>
  <si>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</si>
  <si>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</si>
  <si>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</si>
  <si>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</si>
  <si>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</si>
  <si>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</si>
  <si>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</si>
  <si>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</si>
  <si>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</si>
  <si>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</si>
  <si>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</si>
  <si>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</si>
  <si>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</si>
  <si>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</si>
  <si>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</si>
  <si>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</si>
  <si>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</si>
  <si>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</si>
  <si>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</si>
  <si>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</si>
  <si>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</si>
  <si>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</si>
  <si>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</si>
  <si>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</si>
  <si>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</si>
  <si>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</si>
  <si>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</si>
  <si>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</si>
  <si>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</si>
  <si>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</si>
  <si>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</si>
  <si>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</si>
  <si>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</si>
  <si>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</si>
  <si>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</si>
  <si>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</si>
  <si>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</si>
  <si>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</si>
  <si>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</si>
  <si>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</si>
  <si>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</si>
  <si>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</si>
  <si>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</si>
  <si>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</si>
  <si>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</si>
  <si>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</si>
  <si>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</si>
  <si>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</si>
  <si>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</si>
  <si>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</si>
  <si>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</si>
  <si>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</si>
  <si>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</si>
  <si>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</si>
  <si>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</si>
  <si>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</si>
  <si>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</si>
  <si>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</si>
  <si>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</si>
  <si>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</si>
  <si>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</si>
  <si>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</si>
  <si>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</si>
  <si>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</si>
  <si>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</si>
  <si>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</si>
  <si>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</si>
  <si>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</si>
  <si>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</si>
  <si>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</si>
  <si>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</si>
  <si>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</si>
  <si>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</si>
  <si>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</si>
  <si>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</si>
  <si>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</si>
  <si>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</si>
  <si>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</si>
  <si>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</si>
  <si>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</si>
  <si>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</si>
  <si>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</si>
  <si>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</si>
  <si>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</si>
  <si>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</si>
  <si>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</si>
  <si>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</si>
  <si>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</si>
  <si>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</si>
  <si>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</si>
  <si>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</si>
  <si>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</si>
  <si>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</si>
  <si>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</si>
  <si>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</si>
  <si>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</si>
  <si>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</si>
  <si>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</si>
  <si>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</si>
  <si>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</si>
  <si>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</si>
  <si>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</si>
  <si>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</si>
  <si>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</si>
  <si>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</si>
  <si>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</si>
  <si>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</si>
  <si>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</si>
  <si>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</si>
  <si>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</si>
  <si>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</si>
  <si>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</si>
  <si>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</si>
  <si>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</si>
  <si>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</si>
  <si>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</si>
  <si>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</si>
  <si>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</si>
  <si>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</si>
  <si>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</si>
  <si>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</si>
  <si>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</si>
  <si>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</si>
  <si>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</si>
  <si>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</si>
  <si>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</si>
  <si>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</si>
  <si>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</si>
  <si>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</si>
  <si>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</si>
  <si>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</si>
  <si>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</si>
  <si>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</si>
  <si>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</si>
  <si>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</si>
  <si>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</si>
  <si>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</si>
  <si>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</si>
  <si>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</si>
  <si>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</si>
  <si>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</si>
  <si>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</si>
  <si>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</si>
  <si>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</si>
  <si>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</si>
  <si>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</si>
  <si>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</si>
  <si>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</si>
  <si>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</si>
  <si>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</si>
  <si>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</si>
  <si>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</si>
  <si>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</si>
  <si>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</si>
  <si>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</si>
  <si>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</si>
  <si>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</si>
  <si>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</si>
  <si>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</si>
  <si>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</si>
  <si>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</si>
  <si>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</si>
  <si>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</si>
  <si>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</si>
  <si>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</si>
  <si>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</si>
  <si>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</si>
  <si>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</si>
  <si>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</si>
  <si>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</si>
  <si>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</si>
  <si>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</si>
  <si>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</si>
  <si>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</si>
  <si>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</si>
  <si>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</si>
  <si>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</si>
  <si>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</si>
  <si>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</si>
  <si>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</si>
  <si>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</si>
  <si>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</si>
  <si>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</si>
  <si>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</si>
  <si>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</si>
  <si>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</si>
  <si>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</si>
  <si>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</si>
  <si>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</si>
  <si>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</si>
  <si>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</si>
  <si>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</si>
  <si>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</si>
  <si>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</si>
  <si>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</si>
  <si>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</si>
  <si>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</si>
  <si>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</si>
  <si>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</si>
  <si>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</si>
  <si>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</si>
  <si>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</si>
  <si>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</si>
  <si>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</si>
  <si>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</si>
  <si>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</si>
  <si>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</si>
  <si>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</si>
  <si>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</si>
  <si>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</si>
  <si>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</si>
  <si>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</si>
  <si>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</si>
  <si>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</si>
  <si>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</si>
  <si>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</si>
  <si>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</si>
  <si>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</si>
  <si>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</si>
  <si>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</si>
  <si>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</si>
  <si>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</si>
  <si>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</si>
  <si>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</si>
  <si>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</si>
  <si>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</si>
  <si>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</si>
  <si>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</si>
  <si>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</si>
  <si>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</si>
  <si>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</si>
  <si>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</si>
  <si>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</si>
  <si>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</si>
  <si>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</si>
  <si>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</si>
  <si>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</si>
  <si>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</si>
  <si>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</si>
  <si>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</si>
  <si>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</si>
  <si>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</si>
  <si>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</si>
  <si>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</si>
  <si>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</si>
  <si>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</si>
  <si>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</si>
  <si>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</si>
  <si>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</si>
  <si>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</si>
  <si>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</si>
  <si>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</si>
  <si>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</si>
  <si>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</si>
  <si>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</si>
  <si>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</si>
  <si>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</si>
  <si>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</si>
  <si>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</si>
  <si>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</si>
  <si>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</si>
  <si>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</si>
  <si>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</si>
  <si>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</si>
  <si>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</si>
  <si>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</si>
  <si>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</si>
  <si>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</si>
  <si>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</si>
  <si>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</si>
  <si>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</si>
  <si>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</si>
  <si>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</si>
  <si>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</si>
  <si>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</si>
  <si>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</si>
  <si>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</si>
  <si>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</si>
  <si>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</si>
  <si>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</si>
  <si>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</si>
  <si>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</si>
  <si>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</si>
  <si>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</si>
  <si>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</si>
  <si>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</si>
  <si>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</si>
  <si>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</si>
  <si>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</si>
  <si>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</si>
  <si>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</si>
  <si>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</si>
  <si>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</si>
  <si>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</si>
  <si>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</si>
  <si>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</si>
  <si>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</si>
  <si>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</si>
  <si>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</si>
  <si>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</si>
  <si>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</si>
  <si>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</si>
  <si>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</si>
  <si>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</si>
  <si>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</si>
  <si>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</si>
  <si>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</si>
  <si>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</si>
  <si>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</si>
  <si>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</si>
  <si>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</si>
  <si>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</si>
  <si>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</si>
  <si>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</si>
  <si>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</si>
  <si>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</si>
  <si>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</si>
  <si>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</si>
  <si>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</si>
  <si>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</si>
  <si>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</si>
  <si>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</si>
  <si>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</si>
  <si>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</si>
  <si>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</si>
  <si>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</si>
  <si>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</si>
  <si>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</si>
  <si>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</si>
  <si>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</si>
  <si>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</si>
  <si>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</si>
  <si>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</si>
  <si>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</si>
  <si>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</si>
  <si>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</si>
  <si>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</si>
  <si>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</si>
  <si>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</si>
  <si>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</si>
  <si>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</si>
  <si>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</si>
  <si>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</si>
  <si>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</si>
  <si>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</si>
  <si>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</si>
  <si>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</si>
  <si>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</si>
  <si>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</si>
  <si>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</si>
  <si>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</si>
  <si>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</si>
  <si>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</si>
  <si>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</si>
  <si>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</si>
  <si>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</si>
  <si>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</si>
  <si>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</si>
  <si>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</si>
  <si>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</si>
  <si>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</si>
  <si>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</si>
  <si>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</si>
  <si>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</si>
  <si>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</si>
  <si>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</si>
  <si>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</si>
  <si>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</si>
  <si>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</si>
  <si>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</si>
  <si>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</si>
  <si>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</si>
  <si>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</si>
  <si>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</si>
  <si>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</si>
  <si>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</si>
  <si>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</si>
  <si>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</si>
  <si>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</si>
  <si>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</si>
  <si>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</si>
  <si>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</si>
  <si>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</si>
  <si>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</si>
  <si>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</si>
  <si>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</si>
  <si>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</si>
  <si>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</si>
  <si>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</si>
  <si>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</si>
  <si>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</si>
  <si>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</si>
  <si>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</si>
  <si>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</si>
  <si>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</si>
  <si>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</si>
  <si>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</si>
  <si>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</si>
  <si>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</si>
  <si>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</si>
  <si>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</si>
  <si>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</si>
  <si>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</si>
  <si>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</si>
  <si>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</si>
  <si>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</si>
  <si>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</si>
  <si>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</si>
  <si>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</si>
  <si>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</si>
  <si>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</si>
  <si>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</si>
  <si>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</si>
  <si>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</si>
  <si>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</si>
  <si>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</si>
  <si>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</si>
  <si>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</si>
  <si>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</si>
  <si>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</si>
  <si>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</si>
  <si>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</si>
  <si>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</si>
  <si>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</si>
  <si>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</si>
  <si>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</si>
  <si>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</si>
  <si>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</si>
  <si>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</si>
  <si>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</si>
  <si>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</si>
  <si>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</si>
  <si>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</si>
  <si>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</si>
  <si>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</si>
  <si>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</si>
  <si>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</si>
  <si>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</si>
  <si>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</si>
  <si>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</si>
  <si>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</si>
  <si>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</si>
  <si>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</si>
  <si>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</si>
  <si>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</si>
  <si>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</si>
  <si>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</si>
  <si>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</si>
  <si>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</si>
  <si>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</si>
  <si>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</si>
  <si>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</si>
  <si>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</si>
  <si>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</si>
  <si>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</si>
  <si>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</si>
  <si>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</si>
  <si>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</si>
  <si>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</si>
  <si>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</si>
  <si>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</si>
  <si>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</si>
  <si>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</si>
  <si>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</si>
  <si>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</si>
  <si>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</si>
  <si>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</si>
  <si>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</si>
  <si>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</si>
  <si>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</si>
  <si>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</si>
  <si>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</si>
  <si>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</si>
  <si>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</si>
  <si>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</si>
  <si>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</si>
  <si>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</si>
  <si>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</si>
  <si>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</si>
  <si>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</si>
  <si>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</si>
  <si>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</si>
  <si>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</si>
  <si>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</si>
  <si>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</si>
  <si>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</si>
  <si>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</si>
  <si>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</si>
  <si>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</si>
  <si>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</si>
  <si>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</si>
  <si>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</si>
  <si>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</si>
  <si>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</si>
  <si>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</si>
  <si>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</si>
  <si>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</si>
  <si>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</si>
  <si>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</si>
  <si>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</si>
  <si>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</si>
  <si>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</si>
  <si>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</si>
  <si>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</si>
  <si>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</si>
  <si>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</si>
  <si>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</si>
  <si>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</si>
  <si>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</si>
  <si>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</si>
  <si>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</si>
  <si>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</si>
  <si>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</si>
  <si>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</si>
  <si>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</si>
  <si>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</si>
  <si>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</si>
  <si>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</si>
  <si>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</si>
  <si>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</si>
  <si>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</si>
  <si>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</si>
  <si>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</si>
  <si>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</si>
  <si>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</si>
  <si>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</si>
  <si>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</si>
  <si>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</si>
  <si>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</si>
  <si>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</si>
  <si>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</si>
  <si>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</si>
  <si>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</si>
  <si>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</si>
  <si>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</si>
  <si>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</si>
  <si>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</si>
  <si>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</si>
  <si>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</si>
  <si>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</si>
  <si>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</si>
  <si>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</si>
  <si>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</si>
  <si>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</si>
  <si>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</si>
  <si>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</si>
  <si>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</si>
  <si>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</si>
  <si>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</si>
  <si>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</si>
  <si>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</si>
  <si>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</si>
  <si>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</si>
  <si>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</si>
  <si>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</si>
  <si>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</si>
  <si>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</si>
  <si>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</si>
  <si>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</si>
  <si>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</si>
  <si>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</si>
  <si>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</si>
  <si>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</si>
  <si>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</si>
  <si>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</si>
  <si>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</si>
  <si>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</si>
  <si>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</si>
  <si>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</si>
  <si>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</si>
  <si>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</si>
  <si>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</si>
  <si>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</si>
  <si>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</si>
  <si>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</si>
  <si>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</si>
  <si>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</si>
  <si>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</si>
  <si>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</si>
  <si>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</si>
  <si>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</si>
  <si>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</si>
  <si>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</si>
  <si>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</si>
  <si>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</si>
  <si>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</si>
  <si>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</si>
  <si>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</si>
  <si>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</si>
  <si>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</si>
  <si>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</si>
  <si>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</si>
  <si>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</si>
  <si>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</si>
  <si>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</si>
  <si>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</si>
  <si>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</si>
  <si>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</si>
  <si>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</si>
  <si>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</si>
  <si>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</si>
  <si>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</si>
  <si>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</si>
  <si>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</si>
  <si>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</si>
  <si>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</si>
  <si>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</si>
  <si>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</si>
  <si>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</si>
  <si>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</si>
  <si>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</si>
  <si>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</si>
  <si>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</si>
  <si>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</si>
  <si>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</si>
  <si>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</si>
  <si>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</si>
  <si>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</si>
  <si>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</si>
  <si>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</si>
  <si>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</si>
  <si>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</si>
  <si>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</si>
  <si>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</si>
  <si>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</si>
  <si>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</si>
  <si>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</si>
  <si>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</si>
  <si>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</si>
  <si>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</si>
  <si>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</si>
  <si>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</si>
  <si>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</si>
  <si>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</si>
  <si>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</si>
  <si>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</si>
  <si>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</si>
  <si>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</si>
  <si>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</si>
  <si>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</si>
  <si>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</si>
  <si>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</si>
  <si>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</si>
  <si>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</si>
  <si>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</si>
  <si>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</si>
  <si>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</si>
  <si>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</si>
  <si>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</si>
  <si>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</si>
  <si>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</si>
  <si>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</si>
  <si>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</si>
  <si>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</si>
  <si>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</si>
  <si>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</si>
  <si>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</si>
  <si>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</si>
  <si>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</si>
  <si>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</si>
  <si>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</si>
  <si>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</si>
  <si>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</si>
  <si>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</si>
  <si>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</si>
  <si>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</si>
  <si>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</si>
  <si>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</si>
  <si>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</si>
  <si>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</si>
  <si>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</si>
  <si>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</si>
  <si>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</si>
  <si>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</si>
  <si>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</si>
  <si>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</si>
  <si>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</si>
  <si>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</si>
  <si>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</si>
  <si>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</si>
  <si>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</si>
  <si>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</si>
  <si>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</si>
  <si>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</si>
  <si>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</si>
  <si>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</si>
  <si>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</si>
  <si>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</si>
  <si>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</si>
  <si>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</si>
  <si>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</si>
  <si>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</si>
  <si>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</si>
  <si>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</si>
  <si>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</si>
  <si>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</si>
  <si>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</si>
  <si>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</si>
  <si>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</si>
  <si>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</si>
  <si>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</si>
  <si>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</si>
  <si>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</si>
  <si>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</si>
  <si>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</si>
  <si>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</si>
  <si>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</si>
  <si>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</si>
  <si>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</si>
  <si>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</si>
  <si>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</si>
  <si>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</si>
  <si>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</si>
  <si>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</si>
  <si>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</si>
  <si>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</si>
  <si>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</si>
  <si>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</si>
  <si>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</si>
  <si>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</si>
  <si>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</si>
  <si>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</si>
  <si>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</si>
  <si>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</si>
  <si>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</si>
  <si>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</si>
  <si>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</si>
  <si>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</si>
  <si>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</si>
  <si>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</si>
  <si>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</si>
  <si>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</si>
  <si>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</si>
  <si>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</si>
  <si>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</si>
  <si>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</si>
  <si>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</si>
  <si>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</si>
  <si>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</si>
  <si>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</si>
  <si>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</si>
  <si>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</si>
  <si>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</si>
  <si>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</si>
  <si>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</si>
  <si>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</si>
  <si>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</si>
  <si>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</si>
  <si>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</si>
  <si>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</si>
  <si>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</si>
  <si>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</si>
  <si>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</si>
  <si>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</si>
  <si>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</si>
  <si>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</si>
  <si>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</si>
  <si>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</si>
  <si>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</si>
  <si>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</si>
  <si>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</si>
  <si>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</si>
  <si>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</si>
  <si>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</si>
  <si>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</si>
  <si>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</si>
  <si>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</si>
  <si>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</si>
  <si>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</si>
  <si>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</si>
  <si>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</si>
  <si>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</si>
  <si>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</si>
  <si>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</si>
  <si>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</si>
  <si>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</si>
  <si>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</si>
  <si>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</si>
  <si>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</si>
  <si>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</si>
  <si>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</si>
  <si>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</si>
  <si>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</si>
  <si>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</si>
  <si>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</si>
  <si>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</si>
  <si>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</si>
  <si>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</si>
  <si>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</si>
  <si>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</si>
  <si>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</si>
  <si>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</si>
  <si>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</si>
  <si>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</si>
  <si>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</si>
  <si>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</si>
  <si>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</si>
  <si>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</si>
  <si>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</si>
  <si>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</si>
  <si>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</si>
  <si>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</si>
  <si>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</si>
  <si>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</si>
  <si>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</si>
  <si>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</si>
  <si>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</si>
  <si>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</si>
  <si>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</si>
  <si>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</si>
  <si>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</si>
  <si>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</si>
  <si>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</si>
  <si>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</si>
  <si>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</si>
  <si>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</si>
  <si>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</si>
  <si>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</si>
  <si>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</si>
  <si>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</si>
  <si>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</si>
  <si>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</si>
  <si>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</si>
  <si>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</si>
  <si>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</si>
  <si>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</si>
  <si>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</si>
  <si>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</si>
  <si>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</si>
  <si>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</si>
  <si>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</si>
  <si>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</si>
  <si>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</si>
  <si>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</si>
  <si>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</si>
  <si>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</si>
  <si>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</si>
  <si>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</si>
  <si>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</si>
  <si>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</si>
  <si>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</si>
  <si>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</si>
  <si>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</si>
  <si>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</si>
  <si>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</si>
  <si>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</si>
  <si>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</si>
  <si>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</si>
  <si>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</si>
  <si>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</si>
  <si>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</si>
  <si>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</si>
  <si>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</si>
  <si>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</si>
  <si>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</si>
  <si>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</si>
  <si>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</si>
  <si>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</si>
  <si>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</si>
  <si>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</si>
  <si>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</si>
  <si>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</si>
  <si>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</si>
  <si>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</si>
  <si>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</si>
  <si>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</si>
  <si>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</si>
  <si>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</si>
  <si>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</si>
  <si>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</si>
  <si>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</si>
  <si>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</si>
  <si>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</si>
  <si>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</si>
  <si>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</si>
  <si>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</si>
  <si>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</si>
  <si>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</si>
  <si>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</si>
  <si>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</si>
  <si>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</si>
  <si>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</si>
  <si>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</si>
  <si>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</si>
  <si>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</si>
  <si>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</si>
  <si>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</si>
  <si>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</si>
  <si>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</si>
  <si>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</si>
  <si>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</si>
  <si>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</si>
  <si>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</si>
  <si>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</si>
  <si>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</si>
  <si>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</si>
  <si>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</si>
  <si>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</si>
  <si>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</si>
  <si>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</si>
  <si>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</si>
  <si>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</si>
  <si>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</si>
  <si>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</si>
  <si>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</si>
  <si>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</si>
  <si>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</si>
  <si>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</si>
  <si>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</si>
  <si>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</si>
  <si>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</si>
  <si>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</si>
  <si>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</si>
  <si>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</si>
  <si>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</si>
  <si>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</si>
  <si>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</si>
  <si>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</si>
  <si>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</si>
  <si>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</si>
  <si>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</si>
  <si>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</si>
  <si>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</si>
  <si>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</si>
  <si>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</si>
  <si>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</si>
  <si>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</si>
  <si>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</si>
  <si>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</si>
  <si>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</si>
  <si>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</si>
  <si>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</si>
  <si>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</si>
  <si>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</si>
  <si>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</si>
  <si>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</si>
  <si>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</si>
  <si>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</si>
  <si>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</si>
  <si>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</si>
  <si>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</si>
  <si>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</si>
  <si>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</si>
  <si>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</si>
  <si>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</si>
  <si>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</si>
  <si>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</si>
  <si>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</si>
  <si>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</si>
  <si>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</si>
  <si>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</si>
  <si>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</si>
  <si>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</si>
  <si>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</si>
  <si>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</si>
  <si>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</si>
  <si>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</si>
  <si>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</si>
  <si>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</si>
  <si>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</si>
  <si>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</si>
  <si>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</si>
  <si>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</si>
  <si>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</si>
  <si>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</si>
  <si>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</si>
  <si>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</si>
  <si>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</si>
  <si>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</si>
  <si>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</si>
  <si>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</si>
  <si>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</si>
  <si>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</si>
  <si>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</si>
  <si>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</si>
  <si>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</si>
  <si>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</si>
  <si>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</si>
  <si>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</si>
  <si>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</si>
  <si>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</si>
  <si>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</si>
  <si>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</si>
  <si>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</si>
  <si>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</si>
  <si>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</si>
  <si>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</si>
  <si>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</si>
  <si>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</si>
  <si>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</si>
  <si>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</si>
  <si>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</si>
  <si>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</si>
  <si>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</si>
  <si>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</si>
  <si>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</si>
  <si>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</si>
  <si>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</si>
  <si>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</si>
  <si>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</si>
  <si>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</si>
  <si>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</si>
  <si>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</si>
  <si>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</si>
  <si>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</si>
  <si>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</si>
  <si>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</si>
  <si>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</si>
  <si>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</si>
  <si>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</si>
  <si>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</si>
  <si>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</si>
  <si>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</si>
  <si>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</si>
  <si>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</si>
  <si>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</si>
  <si>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</si>
  <si>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</si>
  <si>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</si>
  <si>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</si>
  <si>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</si>
  <si>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</si>
  <si>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</si>
  <si>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</si>
  <si>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</si>
  <si>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</si>
  <si>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</si>
  <si>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</si>
  <si>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</si>
  <si>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</si>
  <si>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</si>
  <si>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</si>
  <si>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</si>
  <si>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</si>
  <si>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</si>
  <si>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</si>
  <si>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</si>
  <si>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</si>
  <si>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</si>
  <si>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</si>
  <si>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</si>
  <si>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</si>
  <si>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</si>
  <si>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</si>
  <si>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</si>
  <si>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</si>
  <si>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</si>
  <si>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</si>
  <si>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</si>
  <si>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</si>
  <si>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</si>
  <si>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</si>
  <si>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</si>
  <si>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</si>
  <si>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</si>
  <si>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</si>
  <si>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</si>
  <si>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</si>
  <si>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</si>
  <si>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</si>
  <si>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</si>
  <si>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</si>
  <si>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</si>
  <si>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</si>
  <si>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</si>
  <si>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</si>
  <si>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</si>
  <si>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</si>
  <si>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</si>
  <si>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</si>
  <si>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</si>
  <si>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</si>
  <si>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</si>
  <si>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</si>
  <si>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</si>
  <si>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</si>
  <si>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</si>
  <si>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</si>
  <si>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</si>
  <si>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</si>
  <si>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</si>
  <si>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</si>
  <si>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</si>
  <si>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</si>
  <si>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</si>
  <si>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</si>
  <si>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</si>
  <si>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</si>
  <si>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</si>
  <si>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</si>
  <si>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</si>
  <si>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</si>
  <si>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</si>
  <si>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</si>
  <si>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</si>
  <si>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</si>
  <si>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</si>
  <si>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</si>
  <si>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</si>
  <si>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</si>
  <si>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</si>
  <si>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</si>
  <si>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</si>
  <si>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</si>
  <si>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</si>
  <si>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</si>
  <si>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</si>
  <si>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</si>
  <si>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</si>
  <si>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</si>
  <si>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</si>
  <si>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</si>
  <si>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</si>
  <si>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</si>
  <si>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</si>
  <si>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</si>
  <si>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</si>
  <si>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</si>
  <si>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</si>
  <si>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</si>
  <si>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</si>
  <si>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</si>
  <si>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</si>
  <si>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</si>
  <si>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</si>
  <si>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</si>
  <si>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</si>
  <si>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</si>
  <si>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</si>
  <si>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</si>
  <si>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</si>
  <si>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</si>
  <si>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</si>
  <si>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</si>
  <si>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</si>
  <si>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</si>
  <si>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</si>
  <si>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</si>
  <si>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</si>
  <si>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</si>
  <si>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</si>
  <si>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</si>
  <si>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</si>
  <si>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</si>
  <si>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</si>
  <si>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</si>
  <si>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</si>
  <si>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</si>
  <si>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</si>
  <si>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</si>
  <si>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</si>
  <si>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</si>
  <si>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</si>
  <si>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</si>
  <si>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</si>
  <si>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</si>
  <si>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</si>
  <si>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</si>
  <si>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</si>
  <si>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</si>
  <si>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</si>
  <si>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</si>
  <si>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</si>
  <si>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</si>
  <si>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</si>
  <si>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</si>
  <si>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</si>
  <si>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</si>
  <si>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</si>
  <si>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</si>
  <si>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</si>
  <si>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</si>
  <si>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</si>
  <si>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</si>
  <si>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</si>
  <si>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</si>
  <si>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</si>
  <si>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</si>
  <si>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</si>
  <si>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</si>
  <si>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</si>
  <si>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</si>
  <si>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</si>
  <si>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</si>
  <si>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</si>
  <si>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</si>
  <si>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</si>
  <si>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</si>
  <si>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</si>
  <si>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</si>
  <si>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</si>
  <si>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</si>
  <si>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</si>
  <si>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</si>
  <si>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</si>
  <si>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</si>
  <si>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</si>
  <si>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</si>
  <si>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</si>
  <si>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</si>
  <si>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</si>
  <si>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</si>
  <si>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</si>
  <si>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</si>
  <si>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</si>
  <si>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</si>
  <si>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</si>
  <si>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</si>
  <si>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</si>
  <si>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</si>
  <si>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</si>
  <si>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</si>
  <si>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</si>
  <si>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</si>
  <si>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</si>
  <si>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</si>
  <si>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</si>
  <si>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</si>
  <si>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</si>
  <si>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</si>
  <si>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</si>
  <si>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</si>
  <si>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</si>
  <si>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</si>
  <si>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</si>
  <si>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</si>
  <si>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</si>
  <si>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</si>
  <si>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</si>
  <si>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</si>
  <si>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</si>
  <si>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</si>
  <si>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</si>
  <si>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</si>
  <si>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</si>
  <si>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</si>
  <si>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</si>
  <si>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</si>
  <si>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</si>
  <si>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</si>
  <si>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</si>
  <si>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</si>
  <si>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</si>
  <si>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</si>
  <si>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</si>
  <si>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</si>
  <si>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</si>
  <si>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</si>
  <si>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</si>
  <si>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</si>
  <si>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</si>
  <si>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</si>
  <si>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</si>
  <si>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</si>
  <si>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</si>
  <si>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</si>
  <si>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</si>
  <si>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</si>
  <si>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</si>
  <si>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</si>
  <si>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</si>
  <si>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</si>
  <si>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</si>
  <si>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</si>
  <si>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</si>
  <si>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</si>
  <si>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</si>
  <si>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</si>
  <si>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</si>
  <si>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</si>
  <si>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</si>
  <si>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</si>
  <si>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</si>
  <si>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</si>
  <si>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</si>
  <si>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</si>
  <si>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</si>
  <si>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</si>
  <si>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</si>
  <si>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</si>
  <si>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</si>
  <si>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</si>
  <si>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</si>
  <si>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</si>
  <si>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</si>
  <si>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</si>
  <si>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</si>
  <si>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</si>
  <si>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</si>
  <si>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</si>
  <si>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</si>
  <si>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</si>
  <si>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</si>
  <si>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</si>
  <si>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</si>
  <si>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</si>
  <si>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</si>
  <si>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</si>
  <si>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</si>
  <si>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</si>
  <si>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</si>
  <si>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</si>
  <si>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</si>
  <si>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</si>
  <si>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</si>
  <si>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</si>
  <si>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</si>
  <si>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</si>
  <si>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</si>
  <si>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</si>
  <si>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</si>
  <si>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</si>
  <si>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</si>
  <si>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</si>
  <si>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</si>
  <si>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</si>
  <si>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</si>
  <si>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</si>
  <si>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</si>
  <si>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</si>
  <si>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</si>
  <si>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</si>
  <si>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</si>
  <si>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</si>
  <si>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</si>
  <si>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</si>
  <si>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</si>
  <si>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</si>
  <si>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</si>
  <si>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</si>
  <si>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</si>
  <si>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</si>
  <si>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</si>
  <si>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</si>
  <si>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</si>
  <si>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</si>
  <si>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</si>
  <si>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</si>
  <si>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</si>
  <si>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</si>
  <si>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</si>
  <si>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</si>
  <si>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</si>
  <si>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</si>
  <si>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</si>
  <si>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</si>
  <si>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</si>
  <si>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</si>
  <si>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</si>
  <si>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</si>
  <si>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</si>
  <si>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</si>
  <si>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</si>
  <si>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</si>
  <si>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</si>
  <si>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</si>
  <si>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</si>
  <si>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</si>
  <si>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</si>
  <si>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</si>
  <si>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</si>
  <si>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</si>
  <si>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</si>
  <si>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</si>
  <si>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</si>
  <si>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</si>
  <si>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</si>
  <si>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</si>
  <si>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</si>
  <si>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</si>
  <si>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</si>
  <si>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</si>
  <si>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</si>
  <si>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</si>
  <si>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</si>
  <si>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</si>
  <si>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</si>
  <si>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</si>
  <si>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</si>
  <si>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</si>
  <si>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</si>
  <si>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</si>
  <si>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</si>
  <si>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</si>
  <si>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</si>
  <si>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</si>
  <si>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</si>
  <si>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</si>
  <si>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</si>
  <si>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</si>
  <si>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</si>
  <si>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</si>
  <si>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</si>
  <si>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</si>
  <si>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</si>
  <si>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</si>
  <si>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</si>
  <si>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</si>
  <si>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</si>
  <si>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</si>
  <si>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</si>
  <si>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</si>
  <si>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</si>
  <si>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</si>
  <si>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</si>
  <si>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</si>
  <si>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</si>
  <si>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</si>
  <si>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</si>
  <si>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</si>
  <si>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</si>
  <si>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</si>
  <si>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</si>
  <si>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</si>
  <si>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</si>
  <si>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</si>
  <si>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</si>
  <si>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</si>
  <si>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</si>
  <si>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</si>
  <si>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</si>
  <si>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</si>
  <si>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</si>
  <si>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</si>
  <si>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</si>
  <si>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</si>
  <si>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</si>
  <si>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</si>
  <si>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</si>
  <si>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</si>
  <si>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</si>
  <si>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</si>
  <si>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</si>
  <si>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</si>
  <si>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</si>
  <si>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</si>
  <si>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</si>
  <si>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</si>
  <si>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</si>
  <si>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</si>
  <si>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</si>
  <si>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</si>
  <si>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</si>
  <si>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</si>
  <si>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</si>
  <si>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</si>
  <si>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</si>
  <si>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</si>
  <si>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</si>
  <si>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</si>
  <si>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</si>
  <si>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</si>
  <si>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</si>
  <si>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</si>
  <si>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</si>
  <si>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</si>
  <si>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</si>
  <si>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</si>
  <si>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</si>
  <si>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</si>
  <si>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</si>
  <si>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</si>
  <si>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</si>
  <si>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</si>
  <si>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</si>
  <si>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</si>
  <si>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</si>
  <si>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</si>
  <si>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</si>
  <si>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</si>
  <si>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</si>
  <si>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</si>
  <si>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</si>
  <si>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</si>
  <si>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</si>
  <si>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</si>
  <si>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</si>
  <si>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</si>
  <si>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</si>
  <si>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</si>
  <si>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</si>
  <si>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</si>
  <si>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</si>
  <si>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</si>
  <si>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</si>
  <si>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</si>
  <si>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</si>
  <si>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</si>
  <si>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</si>
  <si>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</si>
  <si>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</si>
  <si>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</si>
  <si>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</si>
  <si>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</si>
  <si>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</si>
  <si>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</si>
  <si>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</si>
  <si>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</si>
  <si>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</si>
  <si>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</si>
  <si>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</si>
  <si>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</si>
  <si>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</si>
  <si>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</si>
  <si>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</si>
  <si>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</si>
  <si>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</si>
  <si>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</si>
  <si>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</si>
  <si>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</si>
  <si>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</si>
  <si>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</si>
  <si>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</si>
  <si>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</si>
  <si>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</si>
  <si>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</si>
  <si>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</si>
  <si>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</si>
  <si>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</si>
  <si>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</si>
  <si>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</si>
  <si>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</si>
  <si>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</si>
  <si>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</si>
  <si>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</si>
  <si>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</si>
  <si>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</si>
  <si>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</si>
  <si>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</si>
  <si>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</si>
  <si>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</si>
  <si>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</si>
  <si>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</si>
  <si>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</si>
  <si>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</si>
  <si>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</si>
  <si>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</si>
  <si>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</si>
  <si>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</si>
  <si>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</si>
  <si>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</si>
  <si>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</si>
  <si>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</si>
  <si>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</si>
  <si>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</si>
  <si>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</si>
  <si>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</si>
  <si>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</si>
  <si>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</si>
  <si>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</si>
  <si>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</si>
  <si>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</si>
  <si>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</si>
  <si>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</si>
  <si>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</si>
  <si>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</si>
  <si>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</si>
  <si>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</si>
  <si>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</si>
  <si>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</si>
  <si>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</si>
  <si>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</si>
  <si>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</si>
  <si>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</si>
  <si>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</si>
  <si>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</si>
  <si>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</si>
  <si>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</si>
  <si>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</si>
  <si>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</si>
  <si>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</si>
  <si>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</si>
  <si>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</si>
  <si>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</si>
  <si>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</si>
  <si>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</si>
  <si>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</si>
  <si>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</si>
  <si>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</si>
  <si>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</si>
  <si>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</si>
  <si>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</si>
  <si>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</si>
  <si>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</si>
  <si>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</si>
  <si>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</si>
  <si>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</si>
  <si>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</si>
  <si>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</si>
  <si>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</si>
  <si>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</si>
  <si>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</si>
  <si>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</si>
  <si>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</si>
  <si>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</si>
  <si>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</si>
  <si>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</si>
  <si>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</si>
  <si>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</si>
  <si>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</si>
  <si>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</si>
  <si>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</si>
  <si>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</si>
  <si>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</si>
  <si>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</si>
  <si>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</si>
  <si>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</si>
  <si>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</si>
  <si>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</si>
  <si>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</si>
  <si>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</si>
  <si>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</si>
  <si>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</si>
  <si>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</si>
  <si>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</si>
  <si>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</si>
  <si>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</si>
  <si>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</si>
  <si>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</si>
  <si>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</si>
  <si>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</si>
  <si>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</si>
  <si>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</si>
  <si>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</si>
  <si>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</si>
  <si>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</si>
  <si>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</si>
  <si>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</si>
  <si>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</si>
  <si>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</si>
  <si>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</si>
  <si>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</si>
  <si>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</si>
  <si>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</si>
  <si>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</si>
  <si>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</si>
  <si>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</si>
  <si>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</si>
  <si>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</si>
  <si>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</si>
  <si>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</si>
  <si>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</si>
  <si>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</si>
  <si>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</si>
  <si>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</si>
  <si>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</si>
  <si>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</si>
  <si>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</si>
  <si>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</si>
  <si>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</si>
  <si>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</si>
  <si>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</si>
  <si>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</si>
  <si>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</si>
  <si>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</si>
  <si>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</si>
  <si>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</si>
  <si>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</si>
  <si>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</si>
  <si>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</si>
  <si>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</si>
  <si>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</si>
  <si>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</si>
  <si>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</si>
  <si>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</si>
  <si>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</si>
  <si>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</si>
  <si>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</si>
  <si>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</si>
  <si>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</si>
  <si>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</si>
  <si>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</si>
  <si>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</si>
  <si>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</si>
  <si>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</si>
  <si>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</si>
  <si>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</si>
  <si>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</si>
  <si>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</si>
  <si>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</si>
  <si>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</si>
  <si>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</si>
  <si>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</si>
  <si>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</si>
  <si>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</si>
  <si>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</si>
  <si>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</si>
  <si>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</si>
  <si>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</si>
  <si>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</si>
  <si>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</si>
  <si>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</si>
  <si>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</si>
  <si>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</si>
  <si>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</si>
  <si>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</si>
  <si>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</si>
  <si>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</si>
  <si>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</si>
  <si>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</si>
  <si>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</si>
  <si>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</si>
  <si>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</si>
  <si>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</si>
  <si>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</si>
  <si>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</si>
  <si>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</si>
  <si>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</si>
  <si>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</si>
  <si>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</si>
  <si>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</si>
  <si>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</si>
  <si>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</si>
  <si>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</si>
  <si>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</si>
  <si>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</si>
  <si>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</si>
  <si>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</si>
  <si>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</si>
  <si>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</si>
  <si>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</si>
  <si>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</si>
  <si>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</si>
  <si>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</si>
  <si>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</si>
  <si>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</si>
  <si>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</si>
  <si>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</si>
  <si>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</si>
  <si>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</si>
  <si>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</si>
  <si>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</si>
  <si>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</si>
  <si>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</si>
  <si>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</si>
  <si>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</si>
  <si>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</si>
  <si>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</si>
  <si>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</si>
  <si>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</si>
  <si>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</si>
  <si>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</si>
  <si>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</si>
  <si>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</si>
  <si>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</si>
  <si>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</si>
  <si>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</si>
  <si>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</si>
  <si>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</si>
  <si>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</si>
  <si>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</si>
  <si>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</si>
  <si>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</si>
  <si>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</si>
  <si>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</si>
  <si>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</si>
  <si>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</si>
  <si>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</si>
  <si>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</si>
  <si>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</si>
  <si>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</si>
  <si>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</si>
  <si>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</si>
  <si>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</si>
  <si>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</si>
  <si>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</si>
  <si>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</si>
  <si>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</si>
  <si>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</si>
  <si>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</si>
  <si>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</si>
  <si>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</si>
  <si>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</si>
  <si>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</si>
  <si>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</si>
  <si>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</si>
  <si>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</si>
  <si>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</si>
  <si>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</si>
  <si>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</si>
  <si>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</si>
  <si>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</si>
  <si>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</si>
  <si>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</si>
  <si>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</si>
  <si>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</si>
  <si>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</si>
  <si>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</si>
  <si>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</si>
  <si>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</si>
  <si>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</si>
  <si>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</si>
  <si>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</si>
  <si>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</si>
  <si>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</si>
  <si>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</si>
  <si>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</si>
  <si>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</si>
  <si>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</si>
  <si>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</si>
  <si>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</si>
  <si>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</si>
  <si>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</si>
  <si>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</si>
  <si>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</si>
  <si>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</si>
  <si>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</si>
  <si>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</si>
  <si>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</si>
  <si>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</si>
  <si>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</si>
  <si>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</si>
  <si>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</si>
  <si>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</si>
  <si>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</si>
  <si>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</si>
  <si>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</si>
  <si>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</si>
  <si>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</si>
  <si>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</si>
  <si>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</si>
  <si>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</si>
  <si>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</si>
  <si>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</si>
  <si>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</si>
  <si>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</si>
  <si>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</si>
  <si>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</si>
  <si>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</si>
  <si>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</si>
  <si>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</si>
  <si>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</si>
  <si>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</si>
  <si>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</si>
  <si>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</si>
  <si>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</si>
  <si>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</si>
  <si>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</si>
  <si>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</si>
  <si>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</si>
  <si>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</si>
  <si>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</si>
  <si>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</si>
  <si>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</si>
  <si>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</si>
  <si>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</si>
  <si>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</si>
  <si>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</si>
  <si>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</si>
  <si>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</si>
  <si>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</si>
  <si>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</si>
  <si>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</si>
  <si>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</si>
  <si>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</si>
  <si>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</si>
  <si>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</si>
  <si>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</si>
  <si>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</si>
  <si>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</si>
  <si>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</si>
  <si>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</si>
  <si>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</si>
  <si>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</si>
  <si>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</si>
  <si>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</si>
  <si>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</si>
  <si>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</si>
  <si>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</si>
  <si>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</si>
  <si>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</si>
  <si>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</si>
  <si>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</si>
  <si>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</si>
  <si>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</si>
  <si>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</si>
  <si>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</si>
  <si>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</si>
  <si>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</si>
  <si>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</si>
  <si>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</si>
  <si>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</si>
  <si>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</si>
  <si>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</si>
  <si>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</si>
  <si>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</si>
  <si>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</si>
  <si>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</si>
  <si>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</si>
  <si>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</si>
  <si>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</si>
  <si>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</si>
  <si>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</si>
  <si>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</si>
  <si>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</si>
  <si>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</si>
  <si>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</si>
  <si>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</si>
  <si>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</si>
  <si>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</si>
  <si>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</si>
  <si>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</si>
  <si>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</si>
  <si>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</si>
  <si>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</si>
  <si>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</si>
  <si>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</si>
  <si>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</si>
  <si>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</si>
  <si>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</si>
  <si>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</si>
  <si>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</si>
  <si>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</si>
  <si>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</si>
  <si>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</si>
  <si>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</si>
  <si>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</si>
  <si>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</si>
  <si>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</si>
  <si>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</si>
  <si>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</si>
  <si>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</si>
  <si>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</si>
  <si>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</si>
  <si>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</si>
  <si>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</si>
  <si>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</si>
  <si>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</si>
  <si>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</si>
  <si>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</si>
  <si>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</si>
  <si>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</si>
  <si>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</si>
  <si>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</si>
  <si>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</si>
  <si>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</si>
  <si>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</si>
  <si>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</si>
  <si>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</si>
  <si>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</si>
  <si>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</si>
  <si>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</si>
  <si>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</si>
  <si>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</si>
  <si>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</si>
  <si>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</si>
  <si>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</si>
  <si>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</si>
  <si>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</si>
  <si>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</si>
  <si>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</si>
  <si>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</si>
  <si>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</si>
  <si>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</si>
  <si>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</si>
  <si>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</si>
  <si>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</si>
  <si>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</si>
  <si>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</si>
  <si>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</si>
  <si>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</si>
  <si>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</si>
  <si>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</si>
  <si>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</si>
  <si>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</si>
  <si>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</si>
  <si>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</si>
  <si>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</si>
  <si>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</si>
  <si>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</si>
  <si>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</si>
  <si>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</si>
  <si>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</si>
  <si>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</si>
  <si>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</si>
  <si>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</si>
  <si>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</si>
  <si>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</si>
  <si>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</si>
  <si>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</si>
  <si>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</si>
  <si>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</si>
  <si>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</si>
  <si>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</si>
  <si>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</si>
  <si>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</si>
  <si>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</si>
  <si>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</si>
  <si>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</si>
  <si>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</si>
  <si>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</si>
  <si>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</si>
  <si>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</si>
  <si>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</si>
  <si>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</si>
  <si>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</si>
  <si>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</si>
  <si>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</si>
  <si>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</si>
  <si>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</si>
  <si>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</si>
  <si>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</si>
  <si>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</si>
  <si>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</si>
  <si>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</si>
  <si>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</si>
  <si>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</si>
  <si>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</si>
  <si>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</si>
  <si>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</si>
  <si>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</si>
  <si>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</si>
  <si>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</si>
  <si>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</si>
  <si>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</si>
  <si>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</si>
  <si>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</si>
  <si>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</si>
  <si>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</si>
  <si>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</si>
  <si>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</si>
  <si>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</si>
  <si>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</si>
  <si>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</si>
  <si>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</si>
  <si>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</si>
  <si>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</si>
  <si>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</si>
  <si>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</si>
  <si>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</si>
  <si>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</si>
  <si>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</si>
  <si>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</si>
  <si>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</si>
  <si>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</si>
  <si>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</si>
  <si>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</si>
  <si>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</si>
  <si>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</si>
  <si>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</si>
  <si>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</si>
  <si>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</si>
  <si>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</si>
  <si>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</si>
  <si>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</si>
  <si>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</si>
  <si>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</si>
  <si>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</si>
  <si>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</si>
  <si>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</si>
  <si>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</si>
  <si>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</si>
  <si>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</si>
  <si>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</si>
  <si>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</si>
  <si>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</si>
  <si>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</si>
  <si>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</si>
  <si>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</si>
  <si>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</si>
  <si>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</si>
  <si>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</si>
  <si>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</si>
  <si>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</si>
  <si>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</si>
  <si>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</si>
  <si>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</si>
  <si>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</si>
  <si>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</si>
  <si>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</si>
  <si>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</si>
  <si>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</si>
  <si>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</si>
  <si>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</si>
  <si>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</si>
  <si>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</si>
  <si>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</si>
  <si>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</si>
  <si>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</si>
  <si>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</si>
  <si>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</si>
  <si>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</si>
  <si>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</si>
  <si>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</si>
  <si>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</si>
  <si>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</si>
  <si>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</si>
  <si>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</si>
  <si>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</si>
  <si>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</si>
  <si>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</si>
  <si>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</si>
  <si>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</si>
  <si>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</si>
  <si>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</si>
  <si>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</si>
  <si>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</si>
  <si>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</si>
  <si>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</si>
  <si>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</si>
  <si>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</si>
  <si>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</si>
  <si>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</si>
  <si>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</si>
  <si>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</si>
  <si>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</si>
  <si>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</si>
  <si>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</si>
  <si>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</si>
  <si>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</si>
  <si>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</si>
  <si>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</si>
  <si>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</si>
  <si>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</si>
  <si>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</si>
  <si>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</si>
  <si>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</si>
  <si>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</si>
  <si>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</si>
  <si>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</si>
  <si>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</si>
  <si>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</si>
  <si>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</si>
  <si>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</si>
  <si>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</si>
  <si>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</si>
  <si>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</si>
  <si>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</si>
  <si>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</si>
  <si>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</si>
  <si>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</si>
  <si>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</si>
  <si>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</si>
  <si>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</si>
  <si>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</si>
  <si>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</si>
  <si>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</si>
  <si>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</si>
  <si>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</si>
  <si>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</si>
  <si>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</si>
  <si>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</si>
  <si>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</si>
  <si>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</si>
  <si>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</si>
  <si>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</si>
  <si>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</si>
  <si>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</si>
  <si>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</si>
  <si>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</si>
  <si>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</si>
  <si>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</si>
  <si>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</si>
  <si>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</si>
  <si>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</si>
  <si>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</si>
  <si>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</si>
  <si>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</si>
  <si>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</si>
  <si>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</si>
  <si>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</si>
  <si>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</si>
  <si>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</si>
  <si>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</si>
  <si>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</si>
  <si>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</si>
  <si>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</si>
  <si>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</si>
  <si>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</si>
  <si>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</si>
  <si>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</si>
  <si>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</si>
  <si>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</si>
  <si>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</si>
  <si>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</si>
  <si>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</si>
  <si>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</si>
  <si>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</si>
  <si>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</si>
  <si>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</si>
  <si>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</si>
  <si>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</si>
  <si>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</si>
  <si>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</si>
  <si>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</si>
  <si>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</si>
  <si>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</si>
  <si>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</si>
  <si>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</si>
  <si>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</si>
  <si>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</si>
  <si>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</si>
  <si>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</si>
  <si>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</si>
  <si>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</si>
  <si>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</si>
  <si>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</si>
  <si>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</si>
  <si>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</si>
  <si>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</si>
  <si>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</si>
  <si>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</si>
  <si>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</si>
  <si>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</si>
  <si>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</si>
  <si>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</si>
  <si>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</si>
  <si>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</si>
  <si>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</si>
  <si>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</si>
  <si>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</si>
  <si>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</si>
  <si>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</si>
  <si>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</si>
  <si>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</si>
  <si>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</si>
  <si>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</si>
  <si>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</si>
  <si>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</si>
  <si>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</si>
  <si>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</si>
  <si>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</si>
  <si>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</si>
  <si>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</si>
  <si>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</si>
  <si>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</si>
  <si>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</si>
  <si>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</si>
  <si>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</si>
  <si>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</si>
  <si>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</si>
  <si>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</si>
  <si>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</si>
  <si>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</si>
  <si>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</si>
  <si>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</si>
  <si>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</si>
  <si>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</si>
  <si>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</si>
  <si>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</si>
  <si>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</si>
  <si>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</si>
  <si>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</si>
  <si>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</si>
  <si>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</si>
  <si>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</si>
  <si>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</si>
  <si>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</si>
  <si>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</si>
  <si>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</si>
  <si>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</si>
  <si>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</si>
  <si>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</si>
  <si>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</si>
  <si>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</si>
  <si>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</si>
  <si>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</si>
  <si>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</si>
  <si>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</si>
  <si>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</si>
  <si>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</si>
  <si>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</si>
  <si>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</si>
  <si>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</si>
  <si>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</si>
  <si>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</si>
  <si>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</si>
  <si>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</si>
  <si>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</si>
  <si>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</si>
  <si>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</si>
  <si>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</si>
  <si>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</si>
  <si>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</si>
  <si>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</si>
  <si>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</si>
  <si>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</si>
  <si>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</si>
  <si>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</si>
  <si>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</si>
  <si>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</si>
  <si>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</si>
  <si>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</si>
  <si>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</si>
  <si>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</si>
  <si>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</si>
  <si>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</si>
  <si>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</si>
  <si>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</si>
  <si>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</si>
  <si>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</si>
  <si>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</si>
  <si>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</si>
  <si>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</si>
  <si>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</si>
  <si>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</si>
  <si>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</si>
  <si>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</si>
  <si>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</si>
  <si>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</si>
  <si>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</si>
  <si>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</si>
  <si>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</si>
  <si>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</si>
  <si>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</si>
  <si>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</si>
  <si>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</si>
  <si>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</si>
  <si>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</si>
  <si>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</si>
  <si>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</si>
  <si>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</si>
  <si>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</si>
  <si>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</si>
  <si>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</si>
  <si>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</si>
  <si>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</si>
  <si>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</si>
  <si>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</si>
  <si>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</si>
  <si>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</si>
  <si>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</si>
  <si>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</si>
  <si>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</si>
  <si>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</si>
  <si>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</si>
  <si>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</si>
  <si>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</si>
  <si>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</si>
  <si>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</si>
  <si>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</si>
  <si>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</si>
  <si>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</si>
  <si>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</si>
  <si>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</si>
  <si>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</si>
  <si>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</si>
  <si>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</si>
  <si>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</si>
  <si>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</si>
  <si>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</si>
  <si>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</si>
  <si>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</si>
  <si>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</si>
  <si>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</si>
  <si>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</si>
  <si>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</si>
  <si>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</si>
  <si>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</si>
  <si>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</si>
  <si>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</si>
  <si>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</si>
  <si>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</si>
  <si>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</si>
  <si>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</si>
  <si>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</si>
  <si>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</si>
  <si>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</si>
  <si>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</si>
  <si>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</si>
  <si>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</si>
  <si>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</si>
  <si>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</si>
  <si>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</si>
  <si>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</si>
  <si>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</si>
  <si>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</si>
  <si>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</si>
  <si>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</si>
  <si>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</si>
  <si>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</si>
  <si>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</si>
  <si>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</si>
  <si>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</si>
  <si>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</si>
  <si>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</si>
  <si>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</si>
  <si>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</si>
  <si>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</si>
  <si>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</si>
  <si>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</si>
  <si>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</si>
  <si>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</si>
  <si>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</si>
  <si>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</si>
  <si>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</si>
  <si>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</si>
  <si>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</si>
  <si>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</si>
  <si>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</si>
  <si>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</si>
  <si>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</si>
  <si>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</si>
  <si>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</si>
  <si>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</si>
  <si>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</si>
  <si>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</si>
  <si>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</si>
  <si>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</si>
  <si>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</si>
  <si>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</si>
  <si>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</si>
  <si>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</si>
  <si>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</si>
  <si>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</si>
  <si>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</si>
  <si>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</si>
  <si>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</si>
  <si>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</si>
  <si>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</si>
  <si>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</si>
  <si>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</si>
  <si>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</si>
  <si>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</si>
  <si>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</si>
  <si>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</si>
  <si>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</si>
  <si>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</si>
  <si>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</si>
  <si>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</si>
  <si>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</si>
  <si>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</si>
  <si>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</si>
  <si>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</si>
  <si>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</si>
  <si>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</si>
  <si>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</si>
  <si>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</si>
  <si>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</si>
  <si>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</si>
  <si>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</si>
  <si>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</si>
  <si>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</si>
  <si>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</si>
  <si>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</si>
  <si>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</si>
  <si>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</si>
  <si>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</si>
  <si>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</si>
  <si>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</si>
  <si>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</si>
  <si>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</si>
  <si>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</si>
  <si>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</si>
  <si>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</si>
  <si>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</si>
  <si>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</si>
  <si>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</si>
  <si>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</si>
  <si>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</si>
  <si>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</si>
  <si>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</si>
  <si>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</si>
  <si>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</si>
  <si>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</si>
  <si>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</si>
  <si>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</si>
  <si>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</si>
  <si>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</si>
  <si>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</si>
  <si>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</si>
  <si>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</si>
  <si>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</si>
  <si>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</si>
  <si>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</si>
  <si>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</si>
  <si>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</si>
  <si>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</si>
  <si>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</si>
  <si>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</si>
  <si>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</si>
  <si>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</si>
  <si>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</si>
  <si>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</si>
  <si>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</si>
  <si>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</si>
  <si>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</si>
  <si>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</si>
  <si>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</si>
  <si>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</si>
  <si>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</si>
  <si>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</si>
  <si>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</si>
  <si>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</si>
  <si>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</si>
  <si>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</si>
  <si>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</si>
  <si>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</si>
  <si>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</si>
  <si>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</si>
  <si>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</si>
  <si>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</si>
  <si>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</si>
  <si>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</si>
  <si>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</si>
  <si>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</si>
  <si>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</si>
  <si>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</si>
  <si>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</si>
  <si>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</si>
  <si>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</si>
  <si>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</si>
  <si>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</si>
  <si>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</si>
  <si>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</si>
  <si>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</si>
  <si>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</si>
  <si>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</si>
  <si>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</si>
  <si>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</si>
  <si>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</si>
  <si>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</si>
  <si>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</si>
  <si>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</si>
  <si>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</si>
  <si>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</si>
  <si>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</si>
  <si>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</si>
  <si>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</si>
  <si>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</si>
  <si>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</si>
  <si>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</si>
  <si>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</si>
  <si>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</si>
  <si>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</si>
  <si>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</si>
  <si>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</si>
  <si>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</si>
  <si>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</si>
  <si>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</si>
  <si>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</si>
  <si>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</si>
  <si>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</si>
  <si>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</si>
  <si>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</si>
  <si>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</si>
  <si>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</si>
  <si>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</si>
  <si>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</si>
  <si>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</si>
  <si>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</si>
  <si>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</si>
  <si>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</si>
  <si>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</si>
  <si>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</si>
  <si>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</si>
  <si>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</si>
  <si>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</si>
  <si>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</si>
  <si>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</si>
  <si>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</si>
  <si>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</si>
  <si>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</si>
  <si>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</si>
  <si>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</si>
  <si>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</si>
  <si>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</si>
  <si>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</si>
  <si>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</si>
  <si>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</si>
  <si>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</si>
  <si>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</si>
  <si>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</si>
  <si>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</si>
  <si>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</si>
  <si>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</si>
  <si>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</si>
  <si>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</si>
  <si>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</si>
  <si>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</si>
  <si>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</si>
  <si>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</si>
  <si>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</si>
  <si>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</si>
  <si>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</si>
  <si>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</si>
  <si>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</si>
  <si>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</si>
  <si>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</si>
  <si>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</si>
  <si>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</si>
  <si>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</si>
  <si>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</si>
  <si>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</si>
  <si>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</si>
  <si>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</si>
  <si>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</si>
  <si>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</si>
  <si>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</si>
  <si>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</si>
  <si>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</si>
  <si>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</si>
  <si>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</si>
  <si>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</si>
  <si>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</si>
  <si>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</si>
  <si>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</si>
  <si>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</si>
  <si>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</si>
  <si>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</si>
  <si>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</si>
  <si>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</si>
  <si>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</si>
  <si>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</si>
  <si>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</si>
  <si>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</si>
  <si>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</si>
  <si>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</si>
  <si>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</si>
  <si>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</si>
  <si>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</si>
  <si>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</si>
  <si>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</si>
  <si>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</si>
  <si>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</si>
  <si>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</si>
  <si>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</si>
  <si>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</si>
  <si>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</si>
  <si>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</si>
  <si>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</si>
  <si>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</si>
  <si>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</si>
  <si>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</si>
  <si>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</si>
  <si>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</si>
  <si>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</si>
  <si>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</si>
  <si>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</si>
  <si>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</si>
  <si>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</si>
  <si>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</si>
  <si>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</si>
  <si>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</si>
  <si>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</si>
  <si>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</si>
  <si>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</si>
  <si>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</si>
  <si>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</si>
  <si>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</si>
  <si>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</si>
  <si>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</si>
  <si>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</si>
  <si>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</si>
  <si>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</si>
  <si>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</si>
  <si>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</si>
  <si>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</si>
  <si>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</si>
  <si>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</si>
  <si>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</si>
  <si>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</si>
  <si>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</si>
  <si>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</si>
  <si>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</si>
  <si>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</si>
  <si>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</si>
  <si>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</si>
  <si>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</si>
  <si>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</si>
  <si>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</si>
  <si>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</si>
  <si>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</si>
  <si>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</si>
  <si>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</si>
  <si>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</si>
  <si>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</si>
  <si>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</si>
  <si>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</si>
  <si>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</si>
  <si>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</si>
  <si>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</si>
  <si>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</si>
  <si>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</si>
  <si>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</si>
  <si>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</si>
  <si>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</si>
  <si>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</si>
  <si>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</si>
  <si>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</si>
  <si>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</si>
  <si>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</si>
  <si>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</si>
  <si>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</si>
  <si>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</si>
  <si>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</si>
  <si>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</si>
  <si>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</si>
  <si>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</si>
  <si>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</si>
  <si>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</si>
  <si>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</si>
  <si>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</si>
  <si>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</si>
  <si>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</si>
  <si>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</si>
  <si>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</si>
  <si>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</si>
  <si>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</si>
  <si>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</si>
  <si>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</si>
  <si>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</si>
  <si>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</si>
  <si>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</si>
  <si>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</si>
  <si>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</si>
  <si>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</si>
  <si>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</si>
  <si>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</si>
  <si>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</si>
  <si>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</si>
  <si>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</si>
  <si>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</si>
  <si>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</si>
  <si>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</si>
  <si>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</si>
  <si>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</si>
  <si>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</si>
  <si>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</si>
  <si>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</si>
  <si>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</si>
  <si>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</si>
  <si>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</si>
  <si>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</si>
  <si>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</si>
  <si>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</si>
  <si>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</si>
  <si>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</si>
  <si>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</si>
  <si>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</si>
  <si>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</si>
  <si>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</si>
  <si>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</si>
  <si>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</si>
  <si>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</si>
  <si>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</si>
  <si>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</si>
  <si>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</si>
  <si>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</si>
  <si>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</si>
  <si>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</si>
  <si>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</si>
  <si>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</si>
  <si>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</si>
  <si>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</si>
  <si>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</si>
  <si>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</si>
  <si>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</si>
  <si>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</si>
  <si>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</si>
  <si>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</si>
  <si>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</si>
  <si>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</si>
  <si>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</si>
  <si>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</si>
  <si>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</si>
  <si>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</si>
  <si>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</si>
  <si>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</si>
  <si>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</si>
  <si>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</si>
  <si>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</si>
  <si>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</si>
  <si>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</si>
  <si>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</si>
  <si>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</si>
  <si>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</si>
  <si>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</si>
  <si>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</si>
  <si>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</si>
  <si>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</si>
  <si>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</si>
  <si>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</si>
  <si>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</si>
  <si>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</si>
  <si>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</si>
  <si>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</si>
  <si>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</si>
  <si>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</si>
  <si>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</si>
  <si>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</si>
  <si>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</si>
  <si>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</si>
  <si>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</si>
  <si>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</si>
  <si>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</si>
  <si>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</si>
  <si>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</si>
  <si>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</si>
  <si>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</si>
  <si>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</si>
  <si>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</si>
  <si>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</si>
  <si>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</si>
  <si>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</si>
  <si>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</si>
  <si>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</si>
  <si>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</si>
  <si>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</si>
  <si>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</si>
  <si>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</si>
  <si>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</si>
  <si>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</si>
  <si>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</si>
  <si>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</si>
  <si>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</si>
  <si>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</si>
  <si>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</si>
  <si>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</si>
  <si>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</si>
  <si>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</si>
  <si>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</si>
  <si>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</si>
  <si>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</si>
  <si>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</si>
  <si>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</si>
  <si>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</si>
  <si>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</si>
  <si>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</si>
  <si>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</si>
  <si>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</si>
  <si>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</si>
  <si>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</si>
  <si>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</si>
  <si>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</si>
  <si>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</si>
  <si>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</si>
  <si>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</si>
  <si>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</si>
  <si>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</si>
  <si>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</si>
  <si>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</si>
  <si>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</si>
  <si>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</si>
  <si>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</si>
  <si>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</si>
  <si>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</si>
  <si>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</si>
  <si>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</si>
  <si>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</si>
  <si>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</si>
  <si>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</si>
  <si>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</si>
  <si>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</si>
  <si>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</si>
  <si>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</si>
  <si>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</si>
  <si>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</si>
  <si>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</si>
  <si>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</si>
  <si>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</si>
  <si>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</si>
  <si>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</si>
  <si>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</si>
  <si>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</si>
  <si>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</si>
  <si>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</si>
  <si>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</si>
  <si>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</si>
  <si>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</si>
  <si>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</si>
  <si>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</si>
  <si>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</si>
  <si>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</si>
  <si>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</si>
  <si>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</si>
  <si>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</si>
  <si>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</si>
  <si>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</si>
  <si>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</si>
  <si>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</si>
  <si>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</si>
  <si>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</si>
  <si>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</si>
  <si>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</si>
  <si>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</si>
  <si>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</si>
  <si>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</si>
  <si>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</si>
  <si>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</si>
  <si>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</si>
  <si>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</si>
  <si>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</si>
  <si>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</si>
  <si>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</si>
  <si>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</si>
  <si>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</si>
  <si>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</si>
  <si>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</si>
  <si>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</si>
  <si>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</si>
  <si>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</si>
  <si>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</si>
  <si>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</si>
  <si>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</si>
  <si>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</si>
  <si>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</si>
  <si>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</si>
  <si>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</si>
  <si>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</si>
  <si>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</si>
  <si>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</si>
  <si>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</si>
  <si>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</si>
  <si>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</si>
  <si>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</si>
  <si>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</si>
  <si>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</si>
  <si>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</si>
  <si>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</si>
  <si>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</si>
  <si>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</si>
  <si>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</si>
  <si>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</si>
  <si>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</si>
  <si>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</si>
  <si>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</si>
  <si>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</si>
  <si>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</si>
  <si>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</si>
  <si>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</si>
  <si>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</si>
  <si>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</si>
  <si>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</si>
  <si>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</si>
  <si>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</si>
  <si>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</si>
  <si>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</si>
  <si>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</si>
  <si>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</si>
  <si>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</si>
  <si>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</si>
  <si>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</si>
  <si>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</si>
  <si>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</si>
  <si>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</si>
  <si>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</si>
  <si>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</si>
  <si>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</si>
  <si>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</si>
  <si>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</si>
  <si>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</si>
  <si>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</si>
  <si>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</si>
  <si>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</si>
  <si>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</si>
  <si>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</si>
  <si>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</si>
  <si>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</si>
  <si>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</si>
  <si>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</si>
  <si>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</si>
  <si>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</si>
  <si>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</si>
  <si>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</si>
  <si>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</si>
  <si>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</si>
  <si>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</si>
  <si>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</si>
  <si>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</si>
  <si>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</si>
  <si>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</si>
  <si>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</si>
  <si>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</si>
  <si>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</si>
  <si>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</si>
  <si>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</si>
  <si>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</si>
  <si>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</si>
  <si>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</si>
  <si>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</si>
  <si>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</si>
  <si>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</si>
  <si>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</si>
  <si>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</si>
  <si>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</si>
  <si>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</si>
  <si>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</si>
  <si>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</si>
  <si>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</si>
  <si>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</si>
  <si>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</si>
  <si>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</si>
  <si>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</si>
  <si>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</si>
  <si>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</si>
  <si>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</si>
  <si>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</si>
  <si>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</si>
  <si>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</si>
  <si>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</si>
  <si>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</si>
  <si>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</si>
  <si>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</si>
  <si>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</si>
  <si>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</si>
  <si>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</si>
  <si>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</si>
  <si>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</si>
  <si>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</si>
  <si>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</si>
  <si>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</si>
  <si>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</si>
  <si>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</si>
  <si>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</si>
  <si>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</si>
  <si>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</si>
  <si>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</si>
  <si>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</si>
  <si>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</si>
  <si>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</si>
  <si>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</si>
  <si>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</si>
  <si>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</si>
  <si>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</si>
  <si>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</si>
  <si>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</si>
  <si>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</si>
  <si>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</si>
  <si>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</si>
  <si>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</si>
  <si>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</si>
  <si>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</si>
  <si>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</si>
  <si>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</si>
  <si>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</si>
  <si>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</si>
  <si>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</si>
  <si>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</si>
  <si>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</si>
  <si>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</si>
  <si>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</si>
  <si>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</si>
  <si>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</si>
  <si>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</si>
  <si>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</si>
  <si>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</si>
  <si>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</si>
  <si>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</si>
  <si>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</si>
  <si>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</si>
  <si>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</si>
  <si>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</si>
  <si>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</si>
  <si>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</si>
  <si>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</si>
  <si>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</si>
  <si>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</si>
  <si>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</si>
  <si>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</si>
  <si>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</si>
  <si>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</si>
  <si>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</si>
  <si>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</si>
  <si>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</si>
  <si>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</si>
  <si>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</si>
  <si>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</si>
  <si>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</si>
  <si>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</si>
  <si>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</si>
  <si>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</si>
  <si>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</si>
  <si>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</si>
  <si>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</si>
  <si>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</si>
  <si>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</si>
  <si>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</si>
  <si>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</si>
  <si>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</si>
  <si>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</si>
  <si>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</si>
  <si>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</si>
  <si>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</si>
  <si>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</si>
  <si>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</si>
  <si>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</si>
  <si>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</si>
  <si>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</si>
  <si>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</si>
  <si>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</si>
  <si>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</si>
  <si>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</si>
  <si>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</si>
  <si>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</si>
  <si>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</si>
  <si>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</si>
  <si>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</si>
  <si>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</si>
  <si>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</si>
  <si>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</si>
  <si>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</si>
  <si>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</si>
  <si>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</si>
  <si>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</si>
  <si>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</si>
  <si>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</si>
  <si>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</si>
  <si>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</si>
  <si>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</si>
  <si>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</si>
  <si>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</si>
  <si>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</si>
  <si>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</si>
  <si>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</si>
  <si>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</si>
  <si>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</si>
  <si>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</si>
  <si>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</si>
  <si>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</si>
  <si>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</si>
  <si>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</si>
  <si>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</si>
  <si>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</si>
  <si>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</si>
  <si>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</si>
  <si>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</si>
  <si>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</si>
  <si>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</si>
  <si>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</si>
  <si>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</si>
  <si>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</si>
  <si>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</si>
  <si>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</si>
  <si>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</si>
  <si>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</si>
  <si>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</si>
  <si>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</si>
  <si>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</si>
  <si>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</si>
  <si>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</si>
  <si>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</si>
  <si>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</si>
  <si>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</si>
  <si>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</si>
  <si>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</si>
  <si>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</si>
  <si>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</si>
  <si>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</si>
  <si>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</si>
  <si>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</si>
  <si>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</si>
  <si>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</si>
  <si>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</si>
  <si>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</si>
  <si>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</si>
  <si>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</si>
  <si>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</si>
  <si>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</si>
  <si>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</si>
  <si>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</si>
  <si>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</si>
  <si>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</si>
  <si>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</si>
  <si>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</si>
  <si>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</si>
  <si>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</si>
  <si>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</si>
  <si>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</si>
  <si>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</si>
  <si>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</si>
  <si>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</si>
  <si>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</si>
  <si>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</si>
  <si>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</si>
  <si>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</si>
  <si>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</si>
  <si>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</si>
  <si>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</si>
  <si>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</si>
  <si>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</si>
  <si>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</si>
  <si>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</si>
  <si>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</si>
  <si>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</si>
  <si>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</si>
  <si>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</si>
  <si>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</si>
  <si>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</si>
  <si>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</si>
  <si>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</si>
  <si>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</si>
  <si>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</si>
  <si>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</si>
  <si>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</si>
  <si>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</si>
  <si>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</si>
  <si>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</si>
  <si>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</si>
  <si>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</si>
  <si>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</si>
  <si>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</si>
  <si>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</si>
  <si>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</si>
  <si>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</si>
  <si>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</si>
  <si>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</si>
  <si>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</si>
  <si>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</si>
  <si>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</si>
  <si>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</si>
  <si>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</si>
  <si>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</si>
  <si>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</si>
  <si>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</si>
  <si>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</si>
  <si>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</si>
  <si>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</si>
  <si>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</si>
  <si>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</si>
  <si>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</si>
  <si>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</si>
  <si>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</si>
  <si>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</si>
  <si>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</si>
  <si>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</si>
  <si>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</si>
  <si>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</si>
  <si>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</si>
  <si>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</si>
  <si>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</si>
  <si>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</si>
  <si>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</si>
  <si>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</si>
  <si>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</si>
  <si>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</si>
  <si>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</si>
  <si>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</si>
  <si>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</si>
  <si>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</si>
  <si>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</si>
  <si>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</si>
  <si>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</si>
  <si>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</si>
  <si>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</si>
  <si>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</si>
  <si>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</si>
  <si>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</si>
  <si>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</si>
  <si>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</si>
  <si>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</si>
  <si>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</si>
  <si>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</si>
  <si>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</si>
  <si>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</si>
  <si>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</si>
  <si>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</si>
  <si>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</si>
  <si>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</si>
  <si>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</si>
  <si>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</si>
  <si>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</si>
  <si>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</si>
  <si>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</si>
  <si>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</si>
  <si>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</si>
  <si>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</si>
  <si>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</si>
  <si>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</si>
  <si>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</si>
  <si>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</si>
  <si>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</si>
  <si>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</si>
  <si>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</si>
  <si>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</si>
  <si>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</si>
  <si>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</si>
  <si>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</si>
  <si>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</si>
  <si>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</si>
  <si>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</si>
  <si>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</si>
  <si>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</si>
  <si>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</si>
  <si>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</si>
  <si>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</si>
  <si>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</si>
  <si>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</si>
  <si>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</si>
  <si>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</si>
  <si>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</si>
  <si>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</si>
  <si>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</si>
  <si>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</si>
  <si>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</si>
  <si>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</si>
  <si>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</si>
  <si>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</si>
  <si>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</si>
  <si>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</si>
  <si>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</si>
  <si>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</si>
  <si>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</si>
  <si>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</si>
  <si>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</si>
  <si>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</si>
  <si>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</si>
  <si>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</si>
  <si>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</si>
  <si>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</si>
  <si>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</si>
  <si>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</si>
  <si>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</si>
  <si>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</si>
  <si>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</si>
  <si>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</si>
  <si>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</si>
  <si>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</si>
  <si>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</si>
  <si>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</si>
  <si>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</si>
  <si>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</si>
  <si>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</si>
  <si>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</si>
  <si>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</si>
  <si>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</si>
  <si>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</si>
  <si>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</si>
  <si>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</si>
  <si>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</si>
  <si>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</si>
  <si>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</si>
  <si>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</si>
  <si>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</si>
  <si>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</si>
  <si>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</si>
  <si>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</si>
  <si>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</si>
  <si>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</si>
  <si>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</si>
  <si>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</si>
  <si>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</si>
  <si>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</si>
  <si>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</si>
  <si>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</si>
  <si>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</si>
  <si>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</si>
  <si>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</si>
  <si>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</si>
  <si>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</si>
  <si>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</si>
  <si>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</si>
  <si>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</si>
  <si>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</si>
  <si>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</si>
  <si>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</si>
  <si>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</si>
  <si>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</si>
  <si>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</si>
  <si>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</si>
  <si>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</si>
  <si>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</si>
  <si>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</si>
  <si>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</si>
  <si>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</si>
  <si>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</si>
  <si>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</si>
  <si>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</si>
  <si>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</si>
  <si>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</si>
  <si>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</si>
  <si>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</si>
  <si>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</si>
  <si>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</si>
  <si>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</si>
  <si>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</si>
  <si>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</si>
  <si>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</si>
  <si>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</si>
  <si>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</si>
  <si>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</si>
  <si>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</si>
  <si>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</si>
  <si>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</si>
  <si>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</si>
  <si>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</si>
  <si>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</si>
  <si>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</si>
  <si>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</si>
  <si>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</si>
  <si>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</si>
  <si>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</si>
  <si>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</si>
  <si>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</si>
  <si>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</si>
  <si>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</si>
  <si>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</si>
  <si>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</si>
  <si>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</si>
  <si>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</si>
  <si>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</si>
  <si>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</si>
  <si>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</si>
  <si>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</si>
  <si>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</si>
  <si>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</si>
  <si>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</si>
  <si>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</si>
  <si>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</si>
  <si>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</si>
  <si>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</si>
  <si>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</si>
  <si>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</si>
  <si>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</si>
  <si>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</si>
  <si>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</si>
  <si>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</si>
  <si>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</si>
  <si>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</si>
  <si>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</si>
  <si>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</si>
  <si>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</si>
  <si>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</si>
  <si>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</si>
  <si>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</si>
  <si>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</si>
  <si>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</si>
  <si>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</si>
  <si>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</si>
  <si>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</si>
  <si>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</si>
  <si>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</si>
  <si>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</si>
  <si>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</si>
  <si>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</si>
  <si>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</si>
  <si>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</si>
  <si>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</si>
  <si>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</si>
  <si>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</si>
  <si>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</si>
  <si>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</si>
  <si>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</si>
  <si>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</si>
  <si>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</si>
  <si>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</si>
  <si>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</si>
  <si>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</si>
  <si>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</si>
  <si>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</si>
  <si>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</si>
  <si>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</si>
  <si>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</si>
  <si>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</si>
  <si>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</si>
  <si>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</si>
  <si>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</si>
  <si>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</si>
  <si>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</si>
  <si>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</si>
  <si>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</si>
  <si>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</si>
  <si>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</si>
  <si>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</si>
  <si>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</si>
  <si>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</si>
  <si>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</si>
  <si>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</si>
  <si>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</si>
  <si>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</si>
  <si>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</si>
  <si>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</si>
  <si>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</si>
  <si>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</si>
  <si>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</si>
  <si>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</si>
  <si>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</si>
  <si>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</si>
  <si>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</si>
  <si>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</si>
  <si>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</si>
  <si>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</si>
  <si>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</si>
  <si>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</si>
  <si>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</si>
  <si>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</si>
  <si>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</si>
  <si>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</si>
  <si>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</si>
  <si>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</si>
  <si>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</si>
  <si>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</si>
  <si>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</si>
  <si>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</si>
  <si>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</si>
  <si>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</si>
  <si>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</si>
  <si>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</si>
  <si>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</si>
  <si>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</si>
  <si>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</si>
  <si>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</si>
  <si>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</si>
  <si>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</si>
  <si>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</si>
  <si>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</si>
  <si>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</si>
  <si>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</si>
  <si>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</si>
  <si>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</si>
  <si>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</si>
  <si>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</si>
  <si>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</si>
  <si>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</si>
  <si>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</si>
  <si>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</si>
  <si>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</si>
  <si>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</si>
  <si>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</si>
  <si>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</si>
  <si>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</si>
  <si>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</si>
  <si>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</si>
  <si>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</si>
  <si>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</si>
  <si>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</si>
  <si>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</si>
  <si>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</si>
  <si>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</si>
  <si>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</si>
  <si>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</si>
  <si>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</si>
  <si>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</si>
  <si>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</si>
  <si>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</si>
  <si>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</si>
  <si>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</si>
  <si>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</si>
  <si>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</si>
  <si>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</si>
  <si>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</si>
  <si>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</si>
  <si>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</si>
  <si>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</si>
  <si>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</si>
  <si>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</si>
  <si>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</si>
  <si>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</si>
  <si>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</si>
  <si>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</si>
  <si>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</si>
  <si>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</si>
  <si>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</si>
  <si>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</si>
  <si>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</si>
  <si>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</si>
  <si>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</si>
  <si>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</si>
  <si>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</si>
  <si>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</si>
  <si>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</si>
  <si>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</si>
  <si>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</si>
  <si>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</si>
  <si>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</si>
  <si>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</si>
  <si>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</si>
  <si>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</si>
  <si>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</si>
  <si>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</si>
  <si>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</si>
  <si>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</si>
  <si>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</si>
  <si>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</si>
  <si>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</si>
  <si>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</si>
  <si>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</si>
  <si>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</si>
  <si>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</si>
  <si>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</si>
  <si>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</si>
  <si>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</si>
  <si>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</si>
  <si>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</si>
  <si>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</si>
  <si>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</si>
  <si>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</si>
  <si>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</si>
  <si>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</si>
  <si>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</si>
  <si>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</si>
  <si>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</si>
  <si>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</si>
  <si>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</si>
  <si>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</si>
  <si>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</si>
  <si>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</si>
  <si>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</si>
  <si>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</si>
  <si>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</si>
  <si>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</si>
  <si>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</si>
  <si>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</si>
  <si>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</si>
  <si>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</si>
  <si>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</si>
  <si>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</si>
  <si>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</si>
  <si>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</si>
  <si>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</si>
  <si>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</si>
  <si>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</si>
  <si>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</si>
  <si>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</si>
  <si>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</si>
  <si>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</si>
  <si>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</si>
  <si>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</si>
  <si>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</si>
  <si>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</si>
  <si>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</si>
  <si>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</si>
  <si>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</si>
  <si>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</si>
  <si>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</si>
  <si>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</si>
  <si>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</si>
  <si>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</si>
  <si>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</si>
  <si>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</si>
  <si>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</si>
  <si>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</si>
  <si>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</si>
  <si>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</si>
  <si>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</si>
  <si>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</si>
  <si>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</si>
  <si>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</si>
  <si>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</si>
  <si>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</si>
  <si>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</si>
  <si>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</si>
  <si>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</si>
  <si>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</si>
  <si>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</si>
  <si>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</si>
  <si>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</si>
  <si>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</si>
  <si>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</si>
  <si>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</si>
  <si>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</si>
  <si>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</si>
  <si>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</si>
  <si>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</si>
  <si>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</si>
  <si>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</si>
  <si>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</si>
  <si>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</si>
  <si>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</si>
  <si>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</si>
  <si>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</si>
  <si>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</si>
  <si>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</si>
  <si>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</si>
  <si>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</si>
  <si>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</si>
  <si>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</si>
  <si>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</si>
  <si>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</si>
  <si>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</si>
  <si>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</si>
  <si>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</si>
  <si>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</si>
  <si>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</si>
  <si>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</si>
  <si>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</si>
  <si>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</si>
  <si>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</si>
  <si>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</si>
  <si>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</si>
  <si>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</si>
  <si>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</si>
  <si>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</si>
  <si>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</si>
  <si>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</si>
  <si>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</si>
  <si>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</si>
  <si>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</si>
  <si>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</si>
  <si>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</si>
  <si>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</si>
  <si>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</si>
  <si>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</si>
  <si>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</si>
  <si>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</si>
  <si>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</si>
  <si>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</si>
  <si>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</si>
  <si>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</si>
  <si>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</si>
  <si>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</si>
  <si>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</si>
  <si>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</si>
  <si>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</si>
  <si>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</si>
  <si>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</si>
  <si>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</si>
  <si>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</si>
  <si>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</si>
  <si>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</si>
  <si>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</si>
  <si>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</si>
  <si>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</si>
  <si>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</si>
  <si>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</si>
  <si>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</si>
  <si>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</si>
  <si>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</si>
  <si>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</si>
  <si>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</si>
  <si>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</si>
  <si>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</si>
  <si>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</si>
  <si>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</si>
  <si>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</si>
  <si>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</si>
  <si>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</si>
  <si>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</si>
  <si>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</si>
  <si>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</si>
  <si>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</si>
  <si>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</si>
  <si>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</si>
  <si>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</si>
  <si>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</si>
  <si>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</si>
  <si>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</si>
  <si>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</si>
  <si>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</si>
  <si>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</si>
  <si>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</si>
  <si>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</si>
  <si>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</si>
  <si>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</si>
  <si>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</si>
  <si>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</si>
  <si>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</si>
  <si>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</si>
  <si>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</si>
  <si>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</si>
  <si>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</si>
  <si>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</si>
  <si>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</si>
  <si>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</si>
  <si>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</si>
  <si>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</si>
  <si>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</si>
  <si>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</si>
  <si>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</si>
  <si>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</si>
  <si>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</si>
  <si>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</si>
  <si>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</si>
  <si>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</si>
  <si>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</si>
  <si>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</si>
  <si>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</si>
  <si>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</si>
  <si>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</si>
  <si>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</si>
  <si>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</si>
  <si>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</si>
  <si>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</si>
  <si>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</si>
  <si>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</si>
  <si>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</si>
  <si>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</si>
  <si>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</si>
  <si>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</si>
  <si>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</si>
  <si>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</si>
  <si>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</si>
  <si>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</si>
  <si>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</si>
  <si>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</si>
  <si>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</si>
  <si>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</si>
  <si>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</si>
  <si>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</si>
  <si>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</si>
  <si>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</si>
  <si>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</si>
  <si>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</si>
  <si>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</si>
  <si>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</si>
  <si>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</si>
  <si>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</si>
  <si>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</si>
  <si>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</si>
  <si>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</si>
  <si>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</si>
  <si>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</si>
  <si>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</si>
  <si>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</si>
  <si>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</si>
  <si>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</si>
  <si>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</si>
  <si>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</si>
  <si>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</si>
  <si>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</si>
  <si>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</si>
  <si>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</si>
  <si>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</si>
  <si>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</si>
  <si>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</si>
  <si>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</si>
  <si>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</si>
  <si>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</si>
  <si>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</si>
  <si>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</si>
  <si>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</si>
  <si>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</si>
  <si>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</si>
  <si>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</si>
  <si>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</si>
  <si>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</si>
  <si>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</si>
  <si>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</si>
  <si>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</si>
  <si>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</si>
  <si>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</si>
  <si>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</si>
  <si>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</si>
  <si>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</si>
  <si>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</si>
  <si>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</si>
  <si>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</si>
  <si>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</si>
  <si>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</si>
  <si>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</si>
  <si>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</si>
  <si>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</si>
  <si>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</si>
  <si>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</si>
  <si>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</si>
  <si>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</si>
  <si>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</si>
  <si>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</si>
  <si>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</si>
  <si>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</si>
  <si>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</si>
  <si>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</si>
  <si>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</si>
  <si>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</si>
  <si>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</si>
  <si>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</si>
  <si>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</si>
  <si>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</si>
  <si>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</si>
  <si>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</si>
  <si>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</si>
  <si>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</si>
  <si>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</si>
  <si>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</si>
  <si>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</si>
  <si>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</si>
  <si>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</si>
  <si>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</si>
  <si>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</si>
  <si>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</si>
  <si>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</si>
  <si>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</si>
  <si>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</si>
  <si>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</si>
  <si>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</si>
  <si>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</si>
  <si>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</si>
  <si>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</si>
  <si>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</si>
  <si>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</si>
  <si>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</si>
  <si>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</si>
  <si>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</si>
  <si>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</si>
  <si>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</si>
  <si>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</si>
  <si>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</si>
  <si>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</si>
  <si>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</si>
  <si>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</si>
  <si>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</si>
  <si>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</si>
  <si>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</si>
  <si>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</si>
  <si>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</si>
  <si>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</si>
  <si>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</si>
  <si>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</si>
  <si>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</si>
  <si>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</si>
  <si>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</si>
  <si>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</si>
  <si>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</si>
  <si>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</si>
  <si>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</si>
  <si>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</si>
  <si>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</si>
  <si>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</si>
  <si>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</si>
  <si>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</si>
  <si>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</si>
  <si>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</si>
  <si>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</si>
  <si>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</si>
  <si>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</si>
  <si>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</si>
  <si>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</si>
  <si>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</si>
  <si>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</si>
  <si>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</si>
  <si>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</si>
  <si>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</si>
  <si>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</si>
  <si>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</si>
  <si>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</si>
  <si>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</si>
  <si>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</si>
  <si>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</si>
  <si>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</si>
  <si>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</si>
  <si>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</si>
  <si>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</si>
  <si>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</si>
  <si>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</si>
  <si>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</si>
  <si>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</si>
  <si>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</si>
  <si>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</si>
  <si>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</si>
  <si>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</si>
  <si>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</si>
  <si>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</si>
  <si>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</si>
  <si>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</si>
  <si>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</si>
  <si>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</si>
  <si>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</si>
  <si>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</si>
  <si>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</si>
  <si>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</si>
  <si>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</si>
  <si>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</si>
  <si>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</si>
  <si>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</si>
  <si>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</si>
  <si>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</si>
  <si>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</si>
  <si>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</si>
  <si>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</si>
  <si>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</si>
  <si>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</si>
  <si>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</si>
  <si>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</si>
  <si>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</si>
  <si>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</si>
  <si>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</si>
  <si>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</si>
  <si>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</si>
  <si>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</si>
  <si>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</si>
  <si>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</si>
  <si>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</si>
  <si>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</si>
  <si>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</si>
  <si>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</si>
  <si>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</si>
  <si>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</si>
  <si>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</si>
  <si>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</si>
  <si>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</si>
  <si>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</si>
  <si>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</si>
  <si>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</si>
  <si>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</si>
  <si>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</si>
  <si>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</si>
  <si>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</si>
  <si>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</si>
  <si>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</si>
  <si>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</si>
  <si>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</si>
  <si>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</si>
  <si>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</si>
  <si>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</si>
  <si>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</si>
  <si>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</si>
  <si>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</si>
  <si>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</si>
  <si>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</si>
  <si>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</si>
  <si>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</si>
  <si>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</si>
  <si>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</si>
  <si>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</si>
  <si>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</si>
  <si>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</si>
  <si>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</si>
  <si>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</si>
  <si>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</si>
  <si>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</si>
  <si>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</si>
  <si>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</si>
  <si>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</si>
  <si>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</si>
  <si>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</si>
  <si>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</si>
  <si>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</si>
  <si>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</si>
  <si>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</si>
  <si>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</si>
  <si>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</si>
  <si>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</si>
  <si>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</si>
  <si>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</si>
  <si>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</si>
  <si>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</si>
  <si>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</si>
  <si>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</si>
  <si>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</si>
  <si>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</si>
  <si>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</si>
  <si>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</si>
  <si>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</si>
  <si>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</si>
  <si>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</si>
  <si>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</si>
  <si>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</si>
  <si>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</si>
  <si>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</si>
  <si>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</si>
  <si>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</si>
  <si>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</si>
  <si>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</si>
  <si>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</si>
  <si>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</si>
  <si>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</si>
  <si>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</si>
  <si>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</si>
  <si>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</si>
  <si>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</si>
  <si>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</si>
  <si>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</si>
  <si>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</si>
  <si>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</si>
  <si>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</si>
  <si>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</si>
  <si>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</si>
  <si>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</si>
  <si>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</si>
  <si>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</si>
  <si>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</si>
  <si>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</si>
  <si>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</si>
  <si>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</si>
  <si>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</si>
  <si>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</si>
  <si>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</si>
  <si>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</si>
  <si>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</si>
  <si>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</si>
  <si>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</si>
  <si>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</si>
  <si>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</si>
  <si>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</si>
  <si>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</si>
  <si>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</si>
  <si>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</si>
  <si>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</si>
  <si>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</si>
  <si>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</si>
  <si>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</si>
  <si>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</si>
  <si>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</si>
  <si>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</si>
  <si>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</si>
  <si>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</si>
  <si>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</si>
  <si>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</si>
  <si>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</si>
  <si>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</si>
  <si>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</si>
  <si>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</si>
  <si>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</si>
  <si>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</si>
  <si>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</si>
  <si>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</si>
  <si>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</si>
  <si>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</si>
  <si>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</si>
  <si>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</si>
  <si>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</si>
  <si>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</si>
  <si>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</si>
  <si>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</si>
  <si>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</si>
  <si>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</si>
  <si>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</si>
  <si>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</si>
  <si>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</si>
  <si>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</si>
  <si>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</si>
  <si>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</si>
  <si>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</si>
  <si>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</si>
  <si>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</si>
  <si>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</si>
  <si>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</si>
  <si>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</si>
  <si>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</si>
  <si>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</si>
  <si>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</si>
  <si>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</si>
  <si>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</si>
  <si>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</si>
  <si>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</si>
  <si>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</si>
  <si>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</si>
  <si>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</si>
  <si>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</si>
  <si>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</si>
  <si>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</si>
  <si>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</si>
  <si>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</si>
  <si>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</si>
  <si>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</si>
  <si>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</si>
  <si>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</si>
  <si>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</si>
  <si>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</si>
  <si>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</si>
  <si>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</si>
  <si>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</si>
  <si>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</si>
  <si>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</si>
  <si>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</si>
  <si>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</si>
  <si>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</si>
  <si>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</si>
  <si>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</si>
  <si>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</si>
  <si>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</si>
  <si>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</si>
  <si>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</si>
  <si>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</si>
  <si>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</si>
  <si>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</si>
  <si>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</si>
  <si>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</si>
  <si>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</si>
  <si>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</si>
  <si>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</si>
  <si>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</si>
  <si>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</si>
  <si>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</si>
  <si>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</si>
  <si>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</si>
  <si>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</si>
  <si>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</si>
  <si>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</si>
  <si>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</si>
  <si>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</si>
  <si>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</si>
  <si>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</si>
  <si>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</si>
  <si>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</si>
  <si>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</si>
  <si>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</si>
  <si>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</si>
  <si>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</si>
  <si>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</si>
  <si>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</si>
  <si>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</si>
  <si>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</si>
  <si>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</si>
  <si>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</si>
  <si>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</si>
  <si>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</si>
  <si>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</si>
  <si>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</si>
  <si>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</si>
  <si>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</si>
  <si>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</si>
  <si>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</si>
  <si>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</si>
  <si>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</si>
  <si>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</si>
  <si>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</si>
  <si>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</si>
  <si>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</si>
  <si>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</si>
  <si>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</si>
  <si>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</si>
  <si>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</si>
  <si>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</si>
  <si>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</si>
  <si>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</si>
  <si>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</si>
  <si>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</si>
  <si>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</si>
  <si>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</si>
  <si>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</si>
  <si>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</si>
  <si>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</si>
  <si>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</si>
  <si>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</si>
  <si>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</si>
  <si>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</si>
  <si>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</si>
  <si>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</si>
  <si>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</si>
  <si>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</si>
  <si>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</si>
  <si>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</si>
  <si>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</si>
  <si>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</si>
  <si>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</si>
  <si>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</si>
  <si>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</si>
  <si>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</si>
  <si>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</si>
  <si>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</si>
  <si>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</si>
  <si>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</si>
  <si>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</si>
  <si>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</si>
  <si>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</si>
  <si>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</si>
  <si>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</si>
  <si>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</si>
  <si>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</si>
  <si>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</si>
  <si>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</si>
  <si>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</si>
  <si>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</si>
  <si>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</si>
  <si>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</si>
  <si>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</si>
  <si>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</si>
  <si>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</si>
  <si>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</si>
  <si>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</si>
  <si>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</si>
  <si>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</si>
  <si>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</si>
  <si>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</si>
  <si>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</si>
  <si>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</si>
  <si>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</si>
  <si>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</si>
  <si>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</si>
  <si>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</si>
  <si>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</si>
  <si>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</si>
  <si>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</si>
  <si>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</si>
  <si>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</si>
  <si>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</si>
  <si>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</si>
  <si>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</si>
  <si>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</si>
  <si>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</si>
  <si>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</si>
  <si>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</si>
  <si>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</si>
  <si>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</si>
  <si>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</si>
  <si>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</si>
  <si>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</si>
  <si>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</si>
  <si>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</si>
  <si>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</si>
  <si>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</si>
  <si>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</si>
  <si>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</si>
  <si>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</si>
  <si>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</si>
  <si>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</si>
  <si>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</si>
  <si>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</si>
  <si>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</si>
  <si>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</si>
  <si>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</si>
  <si>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</si>
  <si>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</si>
  <si>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</si>
  <si>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</si>
  <si>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</si>
  <si>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</si>
  <si>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</si>
  <si>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</si>
  <si>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</si>
  <si>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</si>
  <si>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</si>
  <si>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</si>
  <si>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</si>
  <si>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</si>
  <si>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</si>
  <si>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</si>
  <si>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</si>
  <si>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</si>
  <si>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</si>
  <si>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</si>
  <si>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</si>
  <si>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</si>
  <si>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</si>
  <si>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</si>
  <si>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</si>
  <si>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</si>
  <si>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</si>
  <si>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</si>
  <si>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</si>
  <si>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</si>
  <si>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</si>
  <si>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</si>
  <si>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</si>
  <si>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</si>
  <si>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</si>
  <si>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</si>
  <si>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</si>
  <si>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</si>
  <si>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</si>
  <si>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</si>
  <si>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</si>
  <si>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</si>
  <si>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</si>
  <si>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</si>
  <si>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</si>
  <si>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</si>
  <si>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</si>
  <si>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</si>
  <si>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</si>
  <si>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</si>
  <si>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</si>
  <si>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</si>
  <si>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</si>
  <si>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</si>
  <si>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</si>
  <si>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</si>
  <si>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</si>
  <si>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</si>
  <si>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</si>
  <si>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</si>
  <si>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</si>
  <si>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</si>
  <si>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</si>
  <si>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</si>
  <si>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</si>
  <si>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</si>
  <si>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</si>
  <si>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</si>
  <si>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</si>
  <si>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</si>
  <si>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</si>
  <si>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</si>
  <si>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</si>
  <si>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</si>
  <si>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</si>
  <si>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</si>
  <si>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</si>
  <si>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</si>
  <si>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</si>
  <si>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</si>
  <si>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</si>
  <si>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</si>
  <si>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</si>
  <si>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</si>
  <si>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</si>
  <si>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</si>
  <si>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</si>
  <si>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</si>
  <si>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</si>
  <si>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</si>
  <si>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</si>
  <si>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</si>
  <si>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</si>
  <si>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</si>
  <si>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</si>
  <si>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</si>
  <si>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</si>
  <si>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</si>
  <si>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</si>
  <si>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</si>
  <si>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</si>
  <si>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</si>
  <si>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</si>
  <si>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</si>
  <si>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</si>
  <si>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</si>
  <si>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</si>
  <si>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</si>
  <si>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</si>
  <si>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</si>
  <si>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</si>
  <si>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</si>
  <si>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</si>
  <si>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</si>
  <si>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</si>
  <si>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</si>
  <si>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</si>
  <si>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</si>
  <si>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</si>
  <si>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</si>
  <si>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</si>
  <si>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</si>
  <si>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</si>
  <si>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</si>
  <si>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</si>
  <si>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</si>
  <si>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</si>
  <si>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</si>
  <si>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</si>
  <si>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</si>
  <si>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</si>
  <si>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</si>
  <si>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</si>
  <si>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</si>
  <si>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</si>
  <si>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</si>
  <si>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</si>
  <si>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</si>
  <si>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</si>
  <si>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</si>
  <si>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</si>
  <si>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</si>
  <si>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</si>
  <si>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</si>
  <si>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</si>
  <si>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</si>
  <si>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</si>
  <si>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</si>
  <si>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</si>
  <si>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</si>
  <si>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</si>
  <si>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</si>
  <si>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</si>
  <si>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</si>
  <si>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</si>
  <si>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</si>
  <si>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</si>
  <si>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</si>
  <si>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</si>
  <si>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</si>
  <si>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</si>
  <si>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</si>
  <si>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</si>
  <si>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</si>
  <si>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</si>
  <si>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</si>
  <si>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</si>
  <si>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</si>
  <si>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</si>
  <si>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</si>
  <si>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</si>
  <si>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</si>
  <si>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</si>
  <si>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</si>
  <si>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</si>
  <si>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</si>
  <si>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</si>
  <si>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</si>
  <si>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</si>
  <si>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</si>
  <si>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</si>
  <si>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</si>
  <si>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</si>
  <si>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</si>
  <si>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</si>
  <si>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</si>
  <si>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</si>
  <si>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</si>
  <si>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</si>
  <si>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</si>
  <si>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</si>
  <si>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</si>
  <si>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</si>
  <si>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</si>
  <si>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</si>
  <si>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</si>
  <si>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</si>
  <si>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</si>
  <si>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</si>
  <si>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</si>
  <si>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</si>
  <si>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</si>
  <si>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</si>
  <si>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</si>
  <si>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</si>
  <si>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</si>
  <si>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</si>
  <si>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</si>
  <si>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</si>
  <si>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</si>
  <si>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</si>
  <si>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</si>
  <si>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</si>
  <si>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</si>
  <si>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</si>
  <si>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</si>
  <si>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</si>
  <si>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</si>
  <si>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</si>
  <si>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</si>
  <si>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</si>
  <si>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</si>
  <si>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</si>
  <si>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</si>
  <si>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</si>
  <si>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</si>
  <si>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</si>
  <si>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</si>
  <si>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</si>
  <si>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</si>
  <si>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</si>
  <si>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</si>
  <si>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</si>
  <si>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</si>
  <si>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</si>
  <si>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</si>
  <si>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</si>
  <si>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</si>
  <si>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</si>
  <si>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</si>
  <si>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</si>
  <si>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</si>
  <si>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</si>
  <si>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</si>
  <si>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</si>
  <si>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</si>
  <si>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</si>
  <si>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</si>
  <si>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</si>
  <si>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</si>
  <si>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</si>
  <si>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</si>
  <si>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</si>
  <si>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</si>
  <si>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</si>
  <si>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</si>
  <si>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</si>
  <si>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</si>
  <si>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</si>
  <si>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</si>
  <si>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</si>
  <si>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</si>
  <si>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</si>
  <si>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</si>
  <si>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</si>
  <si>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</si>
  <si>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</si>
  <si>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</si>
  <si>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</si>
  <si>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</si>
  <si>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</si>
  <si>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</si>
  <si>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</si>
  <si>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</si>
  <si>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</si>
  <si>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</si>
  <si>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</si>
  <si>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</si>
  <si>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</si>
  <si>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</si>
  <si>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</si>
  <si>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</si>
  <si>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</si>
  <si>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</si>
  <si>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</si>
  <si>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</si>
  <si>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</si>
  <si>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</si>
  <si>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</si>
  <si>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</si>
  <si>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</si>
  <si>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</si>
  <si>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</si>
  <si>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</si>
  <si>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</si>
  <si>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</si>
  <si>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</si>
  <si>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</si>
  <si>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</si>
  <si>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</si>
  <si>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</si>
  <si>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</si>
  <si>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</si>
  <si>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</si>
  <si>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</si>
  <si>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</si>
  <si>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</si>
  <si>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</si>
  <si>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</si>
  <si>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</si>
  <si>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</si>
  <si>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</si>
  <si>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</si>
  <si>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</si>
  <si>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</si>
  <si>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</si>
  <si>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</si>
  <si>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</si>
  <si>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</si>
  <si>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</si>
  <si>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</si>
  <si>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</si>
  <si>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</si>
  <si>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</si>
  <si>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</si>
  <si>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</si>
  <si>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</si>
  <si>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</si>
  <si>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</si>
  <si>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</si>
  <si>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</si>
  <si>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</si>
  <si>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</si>
  <si>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</si>
  <si>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</si>
  <si>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</si>
  <si>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</si>
  <si>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</si>
  <si>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</si>
  <si>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</si>
  <si>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</si>
  <si>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</si>
  <si>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</si>
  <si>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</si>
  <si>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</si>
  <si>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</si>
  <si>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</si>
  <si>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</si>
  <si>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</si>
  <si>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</si>
  <si>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</si>
  <si>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</si>
  <si>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</si>
  <si>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</si>
  <si>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</si>
  <si>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</si>
  <si>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</si>
  <si>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</si>
  <si>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</si>
  <si>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</si>
  <si>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</si>
  <si>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</si>
  <si>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</si>
  <si>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</si>
  <si>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</si>
  <si>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</si>
  <si>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</si>
  <si>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</si>
  <si>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</si>
  <si>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</si>
  <si>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</si>
  <si>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</si>
  <si>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</si>
  <si>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</si>
  <si>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</si>
  <si>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</si>
  <si>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</si>
  <si>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</si>
  <si>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</si>
  <si>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</si>
  <si>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</si>
  <si>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</si>
  <si>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</si>
  <si>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</si>
  <si>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</si>
  <si>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</si>
  <si>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</si>
  <si>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</si>
  <si>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</si>
  <si>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</si>
  <si>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</si>
  <si>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</si>
  <si>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</si>
  <si>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</si>
  <si>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</si>
  <si>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</si>
  <si>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</si>
  <si>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</si>
  <si>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</si>
  <si>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</si>
  <si>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</si>
  <si>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</si>
  <si>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</si>
  <si>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</si>
  <si>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</si>
  <si>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</si>
  <si>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</si>
  <si>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</si>
  <si>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</si>
  <si>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</si>
  <si>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</si>
  <si>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</si>
  <si>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</si>
  <si>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</si>
  <si>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</si>
  <si>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</si>
  <si>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</si>
  <si>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</si>
  <si>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</si>
  <si>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</si>
  <si>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</si>
  <si>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</si>
  <si>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</si>
  <si>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</si>
  <si>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</si>
  <si>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</si>
  <si>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</si>
  <si>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</si>
  <si>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</si>
  <si>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</si>
  <si>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</si>
  <si>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</si>
  <si>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</si>
  <si>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</si>
  <si>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</si>
  <si>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</si>
  <si>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</si>
  <si>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</si>
  <si>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</si>
  <si>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</si>
  <si>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</si>
  <si>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</si>
  <si>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</si>
  <si>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</si>
  <si>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</si>
  <si>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</si>
  <si>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</si>
  <si>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</si>
  <si>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</si>
  <si>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</si>
  <si>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</si>
  <si>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</si>
  <si>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</si>
  <si>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</si>
  <si>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</si>
  <si>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</si>
  <si>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</si>
  <si>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</si>
  <si>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</si>
  <si>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</si>
  <si>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</si>
  <si>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</si>
  <si>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</si>
  <si>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</si>
  <si>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</si>
  <si>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</si>
  <si>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</si>
  <si>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</si>
  <si>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</si>
  <si>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</si>
  <si>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</si>
  <si>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</si>
  <si>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</si>
  <si>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</si>
  <si>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</si>
  <si>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</si>
  <si>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</si>
  <si>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</si>
  <si>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</si>
  <si>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</si>
  <si>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</si>
  <si>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</si>
  <si>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</si>
  <si>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</si>
  <si>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</si>
  <si>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</si>
  <si>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</si>
  <si>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</si>
  <si>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</si>
  <si>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</si>
  <si>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</si>
  <si>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</si>
  <si>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</si>
  <si>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</si>
  <si>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</si>
  <si>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</si>
  <si>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</si>
  <si>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</si>
  <si>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</si>
  <si>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</si>
  <si>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</si>
  <si>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</si>
  <si>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</si>
  <si>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</si>
  <si>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</si>
  <si>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</si>
  <si>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</si>
  <si>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</si>
  <si>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</si>
  <si>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</si>
  <si>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</si>
  <si>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</si>
  <si>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</si>
  <si>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</si>
  <si>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</si>
  <si>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</si>
  <si>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</si>
  <si>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</si>
  <si>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</si>
  <si>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</si>
  <si>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</si>
  <si>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</si>
  <si>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</si>
  <si>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</si>
  <si>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</si>
  <si>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</si>
  <si>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</si>
  <si>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</si>
  <si>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</si>
  <si>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</si>
  <si>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</si>
  <si>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</si>
  <si>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</si>
  <si>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</si>
  <si>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</si>
  <si>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</si>
  <si>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</si>
  <si>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</si>
  <si>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</si>
  <si>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</si>
  <si>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</si>
  <si>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</si>
  <si>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</si>
  <si>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</si>
  <si>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</si>
  <si>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</si>
  <si>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</si>
  <si>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</si>
  <si>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</si>
  <si>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</si>
  <si>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</si>
  <si>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</si>
  <si>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</si>
  <si>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</si>
  <si>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</si>
  <si>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</si>
  <si>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</si>
  <si>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</si>
  <si>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</si>
  <si>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</si>
  <si>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</si>
  <si>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</si>
  <si>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</si>
  <si>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</si>
  <si>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</si>
  <si>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</si>
  <si>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</si>
  <si>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</si>
  <si>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</si>
  <si>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</si>
  <si>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</si>
  <si>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</si>
  <si>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</si>
  <si>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</si>
  <si>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</si>
  <si>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</si>
  <si>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</si>
  <si>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</si>
  <si>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</si>
  <si>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</si>
  <si>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</si>
  <si>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</si>
  <si>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</si>
  <si>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</si>
  <si>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</si>
  <si>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</si>
  <si>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</si>
  <si>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</si>
  <si>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</si>
  <si>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</si>
  <si>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</si>
  <si>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</si>
  <si>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</si>
  <si>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</si>
  <si>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</si>
  <si>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</si>
  <si>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</si>
  <si>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</si>
  <si>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</si>
  <si>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</si>
  <si>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</si>
  <si>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</si>
  <si>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</si>
  <si>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</si>
  <si>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</si>
  <si>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</si>
  <si>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</si>
  <si>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</si>
  <si>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</si>
  <si>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</si>
  <si>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</si>
  <si>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</si>
  <si>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</si>
  <si>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</si>
  <si>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</si>
  <si>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</si>
  <si>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</si>
  <si>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</si>
  <si>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</si>
  <si>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</si>
  <si>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</si>
  <si>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</si>
  <si>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</si>
  <si>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</si>
  <si>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</si>
  <si>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</si>
  <si>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</si>
  <si>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</si>
  <si>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</si>
  <si>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</si>
  <si>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</si>
  <si>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</si>
  <si>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</si>
  <si>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</si>
  <si>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</si>
  <si>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</si>
  <si>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</si>
  <si>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</si>
  <si>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</si>
  <si>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</si>
  <si>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</si>
  <si>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</si>
  <si>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</si>
  <si>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</si>
  <si>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</si>
  <si>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</si>
  <si>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</si>
  <si>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</si>
  <si>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</si>
  <si>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</si>
  <si>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</si>
  <si>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</si>
  <si>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</si>
  <si>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</si>
  <si>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</si>
  <si>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</si>
  <si>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</si>
  <si>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</si>
  <si>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</si>
  <si>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</si>
  <si>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</si>
  <si>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</si>
  <si>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</si>
  <si>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</si>
  <si>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</si>
  <si>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</si>
  <si>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</si>
  <si>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</si>
  <si>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</si>
  <si>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</si>
  <si>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</si>
  <si>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</si>
  <si>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</si>
  <si>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</si>
  <si>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</si>
  <si>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</si>
  <si>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</si>
  <si>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</si>
  <si>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</si>
  <si>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</si>
  <si>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</si>
  <si>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</si>
  <si>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</si>
  <si>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</si>
  <si>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</si>
  <si>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</si>
  <si>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</si>
  <si>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</si>
  <si>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</si>
  <si>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</si>
  <si>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</si>
  <si>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</si>
  <si>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</si>
  <si>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</si>
  <si>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</si>
  <si>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</si>
  <si>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</si>
  <si>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</si>
  <si>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</si>
  <si>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</si>
  <si>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</si>
  <si>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</si>
  <si>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</si>
  <si>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</si>
  <si>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</si>
  <si>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</si>
  <si>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</si>
  <si>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</si>
  <si>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</si>
  <si>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</si>
  <si>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</si>
  <si>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</si>
  <si>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</si>
  <si>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</si>
  <si>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</si>
  <si>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</si>
  <si>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</si>
  <si>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</si>
  <si>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</si>
  <si>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</si>
  <si>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</si>
  <si>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</si>
  <si>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</si>
  <si>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</si>
  <si>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</si>
  <si>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</si>
  <si>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</si>
  <si>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</si>
  <si>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</si>
  <si>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</si>
  <si>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</si>
  <si>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</si>
  <si>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</si>
  <si>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</si>
  <si>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</si>
  <si>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</si>
  <si>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</si>
  <si>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</si>
  <si>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</si>
  <si>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</si>
  <si>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</si>
  <si>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</si>
  <si>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</si>
  <si>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</si>
  <si>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</si>
  <si>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</si>
  <si>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</si>
  <si>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</si>
  <si>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</si>
  <si>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</si>
  <si>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</si>
  <si>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</si>
  <si>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</si>
  <si>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</si>
  <si>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</si>
  <si>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</si>
  <si>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</si>
  <si>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</si>
  <si>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</si>
  <si>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</si>
  <si>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</si>
  <si>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</si>
  <si>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</si>
  <si>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</si>
  <si>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</si>
  <si>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</si>
  <si>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</si>
  <si>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</si>
  <si>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</si>
  <si>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</si>
  <si>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</si>
  <si>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</si>
  <si>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</si>
  <si>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</si>
  <si>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</si>
  <si>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</si>
  <si>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</si>
  <si>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</si>
  <si>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</si>
  <si>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</si>
  <si>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</si>
  <si>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</si>
  <si>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</si>
  <si>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</si>
  <si>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</si>
  <si>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</si>
  <si>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</si>
  <si>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</si>
  <si>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</si>
  <si>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</si>
  <si>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</si>
  <si>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</si>
  <si>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</si>
  <si>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</si>
  <si>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</si>
  <si>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</si>
  <si>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</si>
  <si>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</si>
  <si>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</si>
  <si>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</si>
  <si>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</si>
  <si>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</si>
  <si>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</si>
  <si>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</si>
  <si>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</si>
  <si>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</si>
  <si>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</si>
  <si>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</si>
  <si>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</si>
  <si>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</si>
  <si>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</si>
  <si>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</si>
  <si>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</si>
  <si>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</si>
  <si>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</si>
  <si>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</si>
  <si>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</si>
  <si>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</si>
  <si>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</si>
  <si>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</si>
  <si>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</si>
  <si>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</si>
  <si>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</si>
  <si>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</si>
  <si>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</si>
  <si>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</si>
  <si>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</si>
  <si>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</si>
  <si>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</si>
  <si>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</si>
  <si>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</si>
  <si>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</si>
  <si>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</si>
  <si>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</si>
  <si>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</si>
  <si>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</si>
  <si>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</si>
  <si>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</si>
  <si>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</si>
  <si>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</si>
  <si>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</si>
  <si>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</si>
  <si>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</si>
  <si>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</si>
  <si>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</si>
  <si>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</si>
  <si>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</si>
  <si>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</si>
  <si>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</si>
  <si>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</si>
  <si>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</si>
  <si>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</si>
  <si>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</si>
  <si>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</si>
  <si>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</si>
  <si>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</si>
  <si>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</si>
  <si>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</si>
  <si>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</si>
  <si>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</si>
  <si>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</si>
  <si>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</si>
  <si>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</si>
  <si>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</si>
  <si>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</si>
  <si>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</si>
  <si>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</si>
  <si>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</si>
  <si>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</si>
  <si>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</si>
  <si>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</si>
  <si>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</si>
  <si>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</si>
  <si>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</si>
  <si>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</si>
  <si>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</si>
  <si>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</si>
  <si>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</si>
  <si>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</si>
  <si>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</si>
  <si>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</si>
  <si>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</si>
  <si>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</si>
  <si>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</si>
  <si>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</si>
  <si>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</si>
  <si>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</si>
  <si>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</si>
  <si>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</si>
  <si>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</si>
  <si>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</si>
  <si>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</si>
  <si>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</si>
  <si>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</si>
  <si>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</si>
  <si>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ASUSTEK COMPUTER INC.</t>
    <phoneticPr fontId="84" type="noConversion"/>
  </si>
  <si>
    <t>No.15, Li-De Rd. Beitou, Dist., Taipei 112, Taiwan</t>
    <phoneticPr fontId="84" type="noConversion"/>
  </si>
  <si>
    <t>Albert Wang</t>
    <phoneticPr fontId="84" type="noConversion"/>
  </si>
  <si>
    <t>Albert2_Wang@asus.com</t>
    <phoneticPr fontId="84" type="noConversion"/>
  </si>
  <si>
    <t>(886) 2 2894 3447 Ext.26325</t>
    <phoneticPr fontId="84" type="noConversion"/>
  </si>
  <si>
    <t>Jason Chang</t>
    <phoneticPr fontId="84" type="noConversion"/>
  </si>
  <si>
    <t>Associate Director</t>
    <phoneticPr fontId="84" type="noConversion"/>
  </si>
  <si>
    <t>(886) 2 2894 3447 Ext.22619</t>
    <phoneticPr fontId="84" type="noConversion"/>
  </si>
  <si>
    <t>JC_Chang@asus.com</t>
    <phoneticPr fontId="84" type="noConversion"/>
  </si>
  <si>
    <t>ASUSTek is working to guide all smelters sourcing from CAHRAs towards conformance to responsible sourcing program, such as RMAP</t>
    <phoneticPr fontId="84" type="noConversion"/>
  </si>
  <si>
    <t>https://csr.asus.com/en/responsible-manufacturing/responsible-mineral-sourcing</t>
    <phoneticPr fontId="84" type="noConversion"/>
  </si>
  <si>
    <t>CID003426</t>
  </si>
  <si>
    <t>CID003472</t>
  </si>
  <si>
    <t>CID003702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</si>
</sst>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0">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
      <sz val="10"/>
      <name val="微軟正黑體"/>
      <family val="2"/>
      <charset val="136"/>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19" fillId="0" borderId="0" xfId="0" applyFont="1" applyAlignment="1" applyProtection="1">
      <alignment horizontal="lef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1696450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455718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responsible-manufacturing/responsible-mineral-sourcing" TargetMode="External"/><Relationship Id="rId2" Type="http://schemas.openxmlformats.org/officeDocument/2006/relationships/hyperlink" Target="mailto:JC_Chang@asus.com" TargetMode="External"/><Relationship Id="rId1" Type="http://schemas.openxmlformats.org/officeDocument/2006/relationships/hyperlink" Target="mailto:Albert2_W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9453125" defaultRowHeight="12.35"/>
  <cols>
    <col min="1" max="1" width="143" style="157" customWidth="1"/>
    <col min="2" max="2" width="34.89453125" style="157" customWidth="1"/>
    <col min="3" max="3" width="8.89453125" style="157" customWidth="1"/>
    <col min="4" max="16384" width="8.89453125" style="157"/>
  </cols>
  <sheetData>
    <row r="1" spans="1:2" ht="104.2" customHeight="1">
      <c r="A1" s="172" t="str">
        <f ca="1">OFFSET(L!$C$1,MATCH("Instructions"&amp;ADDRESS(ROW(),COLUMN(),4),L!$A:$A,0)-1,SL,,)</f>
        <v>RMI:www.responsiblemineralsinitiative.org/</v>
      </c>
      <c r="B1" s="180"/>
    </row>
    <row r="2" spans="1:2" ht="15.35">
      <c r="A2" s="95" t="str">
        <f ca="1">OFFSET(L!$C$1,MATCH("Instructions"&amp;ADDRESS(ROW(),COLUMN(),4),L!$A:$A,0)-1,SL,,)</f>
        <v>Introduction</v>
      </c>
      <c r="B2" s="180"/>
    </row>
    <row r="3" spans="1:2" ht="168.7"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200000000000003"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 customHeight="1">
      <c r="A10" s="94" t="str">
        <f ca="1">OFFSET(L!$C$1,MATCH("Instructions"&amp;ADDRESS(ROW(),COLUMN(),4),L!$A:$A,0)-1,SL,,)</f>
        <v xml:space="preserve">4. Insert the source for the unique identifier number or code ("DUNS", "VAT", "Customer", etc).  </v>
      </c>
      <c r="B10" s="180"/>
    </row>
    <row r="11" spans="1:2" ht="20.2" customHeight="1">
      <c r="A11" s="94" t="str">
        <f ca="1">OFFSET(L!$C$1,MATCH("Instructions"&amp;ADDRESS(ROW(),COLUMN(),4),L!$A:$A,0)-1,SL,,)</f>
        <v>5. Insert your full company address (street, city, state, country, postal code). This field is optional.</v>
      </c>
      <c r="B11" s="180"/>
    </row>
    <row r="12" spans="1:2" ht="35.200000000000003"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7">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92">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76.7">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22.7">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53.3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3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92">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61.35">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22.7">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46">
      <c r="A45" s="95" t="str">
        <f ca="1">OFFSET(L!$C$1,MATCH("Instructions"&amp;ADDRESS(ROW(),COLUMN(),4),L!$A:$A,0)-1,SL,,)</f>
        <v>Instructions for completing the Smelter List Tab.
Provide answers in ENGLISH only
Note:  Columns with (*) are mandatory fields</v>
      </c>
      <c r="B45" s="180"/>
    </row>
    <row r="46" spans="1:2" ht="63.7"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92">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35">
      <c r="A56" s="94" t="str">
        <f ca="1">OFFSET(L!$C$1,MATCH("Instructions"&amp;ADDRESS(ROW(),COLUMN(),4),L!$A:$A,0)-1,SL,,)</f>
        <v>9. Smelter City – Provide the city name of where the smelter is located. This field is optional.</v>
      </c>
      <c r="B56" s="180"/>
    </row>
    <row r="57" spans="1:2" ht="15.35">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61.3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07.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35">
      <c r="A74" s="183" t="s">
        <v>0</v>
      </c>
      <c r="B74" s="179"/>
    </row>
    <row r="75" spans="1:2" ht="15.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8359375" defaultRowHeight="12.35"/>
  <cols>
    <col min="1" max="1" width="20.47265625" style="58" customWidth="1"/>
    <col min="2" max="2" width="57.05078125" style="58" customWidth="1"/>
    <col min="3" max="16384" width="8.683593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35"/>
  <cols>
    <col min="2" max="2" width="27.3671875" customWidth="1"/>
    <col min="3" max="3" width="1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A0B9210-1F92-4496-8427-F2534212EE71}"/>
    </customSheetView>
    <customSheetView guid="{4BDF1A28-30D5-449D-B20E-D6C97EF9FAE1}" showAutoFilter="1">
      <selection activeCell="C1" sqref="C1:D65536"/>
      <pageMargins left="0" right="0" top="0" bottom="0" header="0" footer="0"/>
      <pageSetup orientation="portrait"/>
      <autoFilter ref="B1:C1" xr:uid="{7A054FC5-7EC1-4342-888C-9477130C62D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35"/>
  <cols>
    <col min="1" max="1" width="0.89453125" customWidth="1"/>
    <col min="2" max="2" width="10.05078125" customWidth="1"/>
    <col min="3" max="3" width="11.47265625" customWidth="1"/>
    <col min="4" max="4" width="17.05078125" style="149" customWidth="1"/>
    <col min="5" max="5" width="42.20703125" customWidth="1"/>
    <col min="6" max="6" width="53.20703125" customWidth="1"/>
    <col min="7" max="7" width="0.89453125" customWidth="1"/>
  </cols>
  <sheetData>
    <row r="1" spans="1:7" ht="12.7" thickTop="1">
      <c r="A1" s="4"/>
      <c r="B1" s="5"/>
      <c r="C1" s="5"/>
      <c r="D1" s="146"/>
      <c r="E1" s="5"/>
      <c r="F1" s="5"/>
      <c r="G1" s="6"/>
    </row>
    <row r="2" spans="1:7">
      <c r="A2" s="315"/>
      <c r="B2" s="2" t="s">
        <v>1</v>
      </c>
      <c r="C2" s="3"/>
      <c r="D2" s="147"/>
      <c r="E2" s="3"/>
      <c r="F2" s="3"/>
      <c r="G2" s="25"/>
    </row>
    <row r="3" spans="1:7">
      <c r="A3" s="315"/>
      <c r="B3" s="3" t="s">
        <v>2</v>
      </c>
      <c r="C3" s="2"/>
      <c r="D3" s="148"/>
      <c r="E3" s="3"/>
      <c r="F3" s="2"/>
      <c r="G3" s="25"/>
    </row>
    <row r="4" spans="1:7" ht="15.35">
      <c r="A4" s="315"/>
      <c r="B4" s="184" t="s">
        <v>3</v>
      </c>
      <c r="C4" s="185"/>
      <c r="D4" s="186"/>
      <c r="E4" s="3"/>
      <c r="F4" s="185"/>
      <c r="G4" s="25"/>
    </row>
    <row r="5" spans="1:7">
      <c r="A5" s="315"/>
      <c r="B5" s="190" t="s">
        <v>4</v>
      </c>
      <c r="C5" s="187"/>
      <c r="D5" s="188"/>
      <c r="E5" s="3"/>
      <c r="F5" s="187"/>
      <c r="G5" s="25"/>
    </row>
    <row r="6" spans="1:7">
      <c r="A6" s="315"/>
      <c r="B6" s="3"/>
      <c r="C6" s="3"/>
      <c r="D6" s="147"/>
      <c r="E6" s="3"/>
      <c r="F6" s="3"/>
      <c r="G6" s="25"/>
    </row>
    <row r="7" spans="1:7">
      <c r="A7" s="315"/>
      <c r="B7" s="3"/>
      <c r="C7" s="3"/>
      <c r="D7" s="147"/>
      <c r="E7" s="3"/>
      <c r="F7" s="3"/>
      <c r="G7" s="25"/>
    </row>
    <row r="8" spans="1:7">
      <c r="A8" s="315"/>
      <c r="B8" s="3"/>
      <c r="C8" s="3"/>
      <c r="D8" s="147"/>
      <c r="E8" s="3"/>
      <c r="F8" s="3"/>
      <c r="G8" s="25"/>
    </row>
    <row r="9" spans="1:7" ht="20.2" customHeight="1">
      <c r="A9" s="315"/>
      <c r="B9" s="318" t="s">
        <v>5</v>
      </c>
      <c r="C9" s="318"/>
      <c r="D9" s="318"/>
      <c r="E9" s="318"/>
      <c r="F9" s="318"/>
      <c r="G9" s="25"/>
    </row>
    <row r="10" spans="1:7" ht="27" customHeight="1">
      <c r="A10" s="315"/>
      <c r="B10" s="319" t="s">
        <v>6</v>
      </c>
      <c r="C10" s="319"/>
      <c r="D10" s="319"/>
      <c r="E10" s="319"/>
      <c r="F10" s="319"/>
      <c r="G10" s="25"/>
    </row>
    <row r="11" spans="1:7" ht="82.5" customHeight="1">
      <c r="A11" s="315"/>
      <c r="B11" s="320"/>
      <c r="C11" s="320"/>
      <c r="D11" s="320"/>
      <c r="E11" s="320"/>
      <c r="F11" s="320"/>
      <c r="G11" s="25"/>
    </row>
    <row r="12" spans="1:7">
      <c r="A12" s="315"/>
      <c r="B12" s="174" t="s">
        <v>7</v>
      </c>
      <c r="C12" s="175" t="s">
        <v>8</v>
      </c>
      <c r="D12" s="176" t="s">
        <v>9</v>
      </c>
      <c r="E12" s="175" t="s">
        <v>10</v>
      </c>
      <c r="F12" s="175" t="s">
        <v>11</v>
      </c>
      <c r="G12" s="25"/>
    </row>
    <row r="13" spans="1:7" ht="55">
      <c r="A13" s="315"/>
      <c r="B13" s="306">
        <v>1</v>
      </c>
      <c r="C13" s="225" t="s">
        <v>12</v>
      </c>
      <c r="D13" s="226">
        <v>44489</v>
      </c>
      <c r="E13" s="225" t="s">
        <v>12669</v>
      </c>
      <c r="F13" s="227" t="s">
        <v>12701</v>
      </c>
      <c r="G13" s="25"/>
    </row>
    <row r="14" spans="1:7" ht="55">
      <c r="A14" s="315"/>
      <c r="B14" s="224">
        <v>1.01</v>
      </c>
      <c r="C14" s="225" t="s">
        <v>12</v>
      </c>
      <c r="D14" s="226">
        <v>44523</v>
      </c>
      <c r="E14" s="225" t="s">
        <v>12670</v>
      </c>
      <c r="F14" s="227" t="s">
        <v>12701</v>
      </c>
      <c r="G14" s="25"/>
    </row>
    <row r="15" spans="1:7" ht="55">
      <c r="A15" s="315"/>
      <c r="B15" s="224">
        <v>1.02</v>
      </c>
      <c r="C15" s="225" t="s">
        <v>12</v>
      </c>
      <c r="D15" s="226">
        <v>44553</v>
      </c>
      <c r="E15" s="225" t="s">
        <v>12671</v>
      </c>
      <c r="F15" s="227" t="s">
        <v>12701</v>
      </c>
      <c r="G15" s="25"/>
    </row>
    <row r="16" spans="1:7" ht="88">
      <c r="A16" s="315"/>
      <c r="B16" s="224">
        <v>1.1000000000000001</v>
      </c>
      <c r="C16" s="225" t="s">
        <v>12</v>
      </c>
      <c r="D16" s="226">
        <v>44848</v>
      </c>
      <c r="E16" s="225" t="s">
        <v>12695</v>
      </c>
      <c r="F16" s="227" t="s">
        <v>12702</v>
      </c>
      <c r="G16" s="25"/>
    </row>
    <row r="17" spans="1:7" ht="55">
      <c r="A17" s="315"/>
      <c r="B17" s="224">
        <v>1.1100000000000001</v>
      </c>
      <c r="C17" s="225" t="s">
        <v>12</v>
      </c>
      <c r="D17" s="226">
        <v>44869</v>
      </c>
      <c r="E17" s="225" t="s">
        <v>12696</v>
      </c>
      <c r="F17" s="227" t="s">
        <v>12702</v>
      </c>
      <c r="G17" s="25"/>
    </row>
    <row r="18" spans="1:7" ht="55">
      <c r="A18" s="315"/>
      <c r="B18" s="224">
        <v>1.2</v>
      </c>
      <c r="C18" s="225" t="s">
        <v>12</v>
      </c>
      <c r="D18" s="226">
        <v>45058</v>
      </c>
      <c r="E18" s="225" t="s">
        <v>12749</v>
      </c>
      <c r="F18" s="227" t="s">
        <v>12703</v>
      </c>
      <c r="G18" s="25"/>
    </row>
    <row r="19" spans="1:7" ht="55">
      <c r="A19" s="315"/>
      <c r="B19" s="224">
        <v>1.3</v>
      </c>
      <c r="C19" s="225" t="s">
        <v>12</v>
      </c>
      <c r="D19" s="226">
        <v>45408</v>
      </c>
      <c r="E19" s="307" t="s">
        <v>19199</v>
      </c>
      <c r="F19" s="227" t="s">
        <v>12750</v>
      </c>
      <c r="G19" s="25"/>
    </row>
    <row r="20" spans="1:7" ht="12.7" thickBot="1">
      <c r="A20" s="316"/>
      <c r="B20" s="317" t="str">
        <f ca="1">OFFSET(L!$C$1,MATCH("General"&amp;"Cpy",L!$A:$A,0)-1,SL,,)</f>
        <v>© 2024 Responsible Minerals Initiative. All rights reserved.</v>
      </c>
      <c r="C20" s="317"/>
      <c r="D20" s="317"/>
      <c r="E20" s="317"/>
      <c r="F20" s="317"/>
      <c r="G20" s="26"/>
    </row>
    <row r="21" spans="1:7" ht="12.7"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9453125" defaultRowHeight="12.35"/>
  <cols>
    <col min="1" max="1" width="1.68359375" style="157" customWidth="1"/>
    <col min="2" max="2" width="35.47265625" style="157" customWidth="1"/>
    <col min="3" max="3" width="105.47265625" style="157" customWidth="1"/>
    <col min="4" max="5" width="1.68359375" style="157" customWidth="1"/>
    <col min="6" max="6" width="52" style="157" customWidth="1"/>
    <col min="7" max="7" width="4.89453125" style="157" customWidth="1"/>
    <col min="8" max="16384" width="8.89453125" style="157"/>
  </cols>
  <sheetData>
    <row r="1" spans="1:8" ht="90.7" customHeight="1" thickTop="1">
      <c r="A1" s="321"/>
      <c r="B1" s="322"/>
      <c r="C1" s="322"/>
      <c r="D1" s="323"/>
    </row>
    <row r="2" spans="1:8" ht="15.35">
      <c r="A2" s="177"/>
      <c r="B2" s="178" t="str">
        <f ca="1">OFFSET(L!$C$1,MATCH("Definitions"&amp;ADDRESS(ROW(),COLUMN(),4),L!$A:$A,0)-1,SL,,)</f>
        <v>ITEM</v>
      </c>
      <c r="C2" s="178" t="str">
        <f ca="1">OFFSET(L!$C$1,MATCH("Definitions"&amp;ADDRESS(ROW(),COLUMN(),4),L!$A:$A,0)-1,SL,,)</f>
        <v>DEFINITION</v>
      </c>
      <c r="D2" s="325"/>
      <c r="E2" s="179"/>
    </row>
    <row r="3" spans="1:8" ht="15.3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5"/>
      <c r="E3" s="180"/>
    </row>
    <row r="4" spans="1:8" ht="61.35">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5"/>
      <c r="E4" s="180" t="s">
        <v>13</v>
      </c>
    </row>
    <row r="5" spans="1:8" ht="76.7">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5"/>
      <c r="E5" s="180"/>
    </row>
    <row r="6" spans="1:8" ht="138">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5"/>
      <c r="E6" s="180" t="s">
        <v>14</v>
      </c>
    </row>
    <row r="7" spans="1:8" ht="76.7">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5"/>
      <c r="E7" s="180" t="s">
        <v>15</v>
      </c>
    </row>
    <row r="8" spans="1:8" ht="76.7">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5"/>
      <c r="E8" s="180" t="s">
        <v>16</v>
      </c>
    </row>
    <row r="9" spans="1:8" ht="4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5"/>
      <c r="E9" s="180" t="s">
        <v>15</v>
      </c>
      <c r="H9" s="157">
        <v>14</v>
      </c>
    </row>
    <row r="10" spans="1:8" ht="61.3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5"/>
      <c r="E10" s="180"/>
    </row>
    <row r="11" spans="1:8" ht="36.700000000000003"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5"/>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5"/>
      <c r="E12" s="180"/>
    </row>
    <row r="13" spans="1:8" ht="4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5"/>
      <c r="E13" s="180"/>
    </row>
    <row r="14" spans="1:8" ht="15.3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5"/>
      <c r="E14" s="180"/>
    </row>
    <row r="15" spans="1:8" ht="76.7">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5"/>
      <c r="E15" s="180"/>
    </row>
    <row r="16" spans="1:8" ht="61.3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5"/>
      <c r="E16" s="180" t="s">
        <v>15</v>
      </c>
    </row>
    <row r="17" spans="1:5" ht="76.7">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5"/>
      <c r="E17" s="180" t="s">
        <v>16</v>
      </c>
    </row>
    <row r="18" spans="1:5" ht="107.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5"/>
      <c r="E18" s="180"/>
    </row>
    <row r="19" spans="1:5" ht="138">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5"/>
      <c r="E19" s="180" t="s">
        <v>15</v>
      </c>
    </row>
    <row r="20" spans="1:5" ht="61.3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5"/>
      <c r="E20" s="180" t="s">
        <v>13</v>
      </c>
    </row>
    <row r="21" spans="1:5" ht="30.7">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5"/>
      <c r="E21" s="180"/>
    </row>
    <row r="22" spans="1:5" ht="15.35">
      <c r="A22" s="177"/>
      <c r="B22" s="324" t="str">
        <f ca="1">OFFSET(L!$C$1,MATCH("General"&amp;"Cpy",L!$A:$A,0)-1,SL,,)</f>
        <v>© 2024 Responsible Minerals Initiative. All rights reserved.</v>
      </c>
      <c r="C22" s="324"/>
      <c r="D22" s="325"/>
      <c r="E22" s="180"/>
    </row>
    <row r="23" spans="1:5" ht="12.7" thickBot="1">
      <c r="A23" s="181"/>
      <c r="B23" s="182"/>
      <c r="C23" s="182"/>
      <c r="D23" s="326"/>
    </row>
    <row r="24" spans="1:5" ht="12.7"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D3" sqref="D3"/>
    </sheetView>
  </sheetViews>
  <sheetFormatPr defaultColWidth="8.89453125" defaultRowHeight="12.35"/>
  <cols>
    <col min="1" max="1" width="1.89453125" customWidth="1"/>
    <col min="2" max="2" width="84.20703125" customWidth="1"/>
    <col min="3" max="3" width="1.68359375" customWidth="1"/>
    <col min="4" max="5" width="16.68359375" customWidth="1"/>
    <col min="6" max="6" width="1.68359375" customWidth="1"/>
    <col min="7" max="9" width="16.68359375" customWidth="1"/>
    <col min="10" max="10" width="17.89453125" customWidth="1"/>
    <col min="11" max="11" width="3" customWidth="1"/>
    <col min="12" max="12" width="3.68359375" hidden="1" customWidth="1"/>
    <col min="13" max="15" width="4.89453125" hidden="1" customWidth="1"/>
    <col min="16" max="23" width="9.05078125" hidden="1" customWidth="1"/>
    <col min="24" max="24" width="27.68359375" hidden="1" customWidth="1"/>
    <col min="25" max="25" width="8.89453125" hidden="1" customWidth="1"/>
    <col min="26" max="32" width="8.89453125" customWidth="1"/>
  </cols>
  <sheetData>
    <row r="1" spans="1:34" ht="15.7"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2"/>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7"/>
      <c r="F3" s="388"/>
      <c r="G3" s="388"/>
      <c r="H3" s="388"/>
      <c r="I3" s="388"/>
      <c r="J3" s="191" t="s">
        <v>12830</v>
      </c>
      <c r="K3" s="30"/>
      <c r="L3" s="103"/>
      <c r="P3" s="39">
        <f>MATCH($D$3,LN,0)</f>
        <v>1</v>
      </c>
    </row>
    <row r="4" spans="1:34" ht="15.3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3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7">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3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3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6.7">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6.7">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3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3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35">
      <c r="A14" s="32"/>
      <c r="B14" s="34" t="str">
        <f ca="1">OFFSET(L!$C$1,MATCH("Declaration"&amp;ADDRESS(ROW(),COLUMN(),4),L!$A:$A,0)-1,SL,,)</f>
        <v>Address:</v>
      </c>
      <c r="C14" s="68"/>
      <c r="D14" s="352" t="s">
        <v>19203</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35">
      <c r="A15" s="32"/>
      <c r="B15" s="34" t="str">
        <f ca="1">OFFSET(L!$C$1,MATCH("Declaration"&amp;ADDRESS(ROW(),COLUMN(),4),L!$A:$A,0)-1,SL,,)</f>
        <v>Contact Name (*):</v>
      </c>
      <c r="C15" s="68"/>
      <c r="D15" s="352" t="s">
        <v>19204</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6.7">
      <c r="A16" s="32"/>
      <c r="B16" s="34" t="str">
        <f ca="1">OFFSET(L!$C$1,MATCH("Declaration"&amp;ADDRESS(ROW(),COLUMN(),4),L!$A:$A,0)-1,SL,,)</f>
        <v>Email – Contact (*):</v>
      </c>
      <c r="C16" s="68"/>
      <c r="D16" s="391" t="s">
        <v>19205</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35">
      <c r="A17" s="32"/>
      <c r="B17" s="34" t="str">
        <f ca="1">OFFSET(L!$C$1,MATCH("Declaration"&amp;ADDRESS(ROW(),COLUMN(),4),L!$A:$A,0)-1,SL,,)</f>
        <v>Phone – Contact (*):</v>
      </c>
      <c r="C17" s="68"/>
      <c r="D17" s="352" t="s">
        <v>19206</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
      <c r="A18" s="32"/>
      <c r="B18" s="34" t="str">
        <f ca="1">OFFSET(L!$C$1,MATCH("Declaration"&amp;ADDRESS(ROW(),COLUMN(),4),L!$A:$A,0)-1,SL,,)</f>
        <v>Authorizer (*):</v>
      </c>
      <c r="C18" s="68"/>
      <c r="D18" s="352" t="s">
        <v>19207</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
      <c r="A19" s="32"/>
      <c r="B19" s="34" t="str">
        <f ca="1">OFFSET(L!$C$1,MATCH("Declaration"&amp;ADDRESS(ROW(),COLUMN(),4),L!$A:$A,0)-1,SL,,)</f>
        <v>Title - Authorizer:</v>
      </c>
      <c r="C19" s="68"/>
      <c r="D19" s="352" t="s">
        <v>19208</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
      <c r="A20" s="32"/>
      <c r="B20" s="34" t="str">
        <f ca="1">OFFSET(L!$C$1,MATCH("Declaration"&amp;ADDRESS(ROW(),COLUMN(),4),L!$A:$A,0)-1,SL,,)</f>
        <v>Email - Authorizer (*):</v>
      </c>
      <c r="C20" s="68"/>
      <c r="D20" s="391" t="s">
        <v>19210</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35">
      <c r="A21" s="32"/>
      <c r="B21" s="34" t="str">
        <f ca="1">OFFSET(L!$C$1,MATCH("Declaration"&amp;ADDRESS(ROW(),COLUMN(),4),L!$A:$A,0)-1,SL,,)</f>
        <v>Phone - Authorizer:</v>
      </c>
      <c r="C21" s="125"/>
      <c r="D21" s="352" t="s">
        <v>19209</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7">
      <c r="A22" s="32"/>
      <c r="B22" s="34" t="str">
        <f ca="1">OFFSET(L!$C$1,MATCH("Declaration"&amp;ADDRESS(ROW(),COLUMN(),4),L!$A:$A,0)-1,SL,,)</f>
        <v>Effective Date (*):</v>
      </c>
      <c r="C22" s="69"/>
      <c r="D22" s="361">
        <v>45482</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7">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3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6">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
      <c r="A26" s="35"/>
      <c r="B26" s="34" t="str">
        <f ca="1">OFFSET(L!$C$1,MATCH("Declaration"&amp;ADDRESS(ROW(),COLUMN(),4),L!$A:$A,0)-1,SL,,)&amp;P26</f>
        <v>Cobalt(*)</v>
      </c>
      <c r="C26" s="29"/>
      <c r="D26" s="327" t="s">
        <v>25</v>
      </c>
      <c r="E26" s="328"/>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
      <c r="A27" s="35"/>
      <c r="B27" s="34" t="str">
        <f ca="1">OFFSET(L!$C$1,MATCH("Declaration"&amp;ADDRESS(ROW(),COLUMN(),4),L!$A:$A,0)-1,SL,,)&amp;P27</f>
        <v>Mica(*)</v>
      </c>
      <c r="C27" s="29"/>
      <c r="D27" s="327" t="s">
        <v>25</v>
      </c>
      <c r="E27" s="328"/>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 hidden="1">
      <c r="A28" s="35"/>
      <c r="B28" s="34" t="str">
        <f ca="1">OFFSET(L!$C$1,MATCH("Declaration"&amp;ADDRESS(ROW(),COLUMN(),4),L!$A:$A,0)-1,SL,,)&amp;P28</f>
        <v/>
      </c>
      <c r="C28" s="29"/>
      <c r="D28" s="336" t="s">
        <v>22</v>
      </c>
      <c r="E28" s="337"/>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 hidden="1">
      <c r="A29" s="35"/>
      <c r="B29" s="34" t="str">
        <f ca="1">OFFSET(L!$C$1,MATCH("Declaration"&amp;ADDRESS(ROW(),COLUMN(),4),L!$A:$A,0)-1,SL,,)&amp;P29</f>
        <v/>
      </c>
      <c r="C29" s="29"/>
      <c r="D29" s="359" t="s">
        <v>22</v>
      </c>
      <c r="E29" s="360"/>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7">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6">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
      <c r="A32" s="35"/>
      <c r="B32" s="34" t="str">
        <f ca="1">OFFSET(L!$C$1,MATCH("Declaration"&amp;ADDRESS(ROW(),COLUMN(),4),L!$A:$A,0)-1,SL,,)&amp;P32</f>
        <v>Cobalt(*)</v>
      </c>
      <c r="C32" s="29"/>
      <c r="D32" s="327" t="s">
        <v>25</v>
      </c>
      <c r="E32" s="328"/>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
      <c r="A33" s="35"/>
      <c r="B33" s="34" t="str">
        <f ca="1">OFFSET(L!$C$1,MATCH("Declaration"&amp;ADDRESS(ROW(),COLUMN(),4),L!$A:$A,0)-1,SL,,)&amp;P33</f>
        <v>Mica(*)</v>
      </c>
      <c r="C33" s="29"/>
      <c r="D33" s="327" t="s">
        <v>25</v>
      </c>
      <c r="E33" s="328"/>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 hidden="1">
      <c r="A34" s="35"/>
      <c r="B34" s="34" t="str">
        <f ca="1">OFFSET(L!$C$1,MATCH("Declaration"&amp;ADDRESS(ROW(),COLUMN(),4),L!$A:$A,0)-1,SL,,)&amp;P34</f>
        <v/>
      </c>
      <c r="C34" s="29"/>
      <c r="D34" s="336" t="s">
        <v>22</v>
      </c>
      <c r="E34" s="337"/>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 hidden="1">
      <c r="A35" s="35"/>
      <c r="B35" s="34" t="str">
        <f ca="1">OFFSET(L!$C$1,MATCH("Declaration"&amp;ADDRESS(ROW(),COLUMN(),4),L!$A:$A,0)-1,SL,,)&amp;P35</f>
        <v/>
      </c>
      <c r="C35" s="29"/>
      <c r="D35" s="336" t="s">
        <v>22</v>
      </c>
      <c r="E35" s="337"/>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7">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
      <c r="A38" s="35"/>
      <c r="B38" s="34" t="str">
        <f ca="1">OFFSET(L!$C$1,MATCH("Declaration"&amp;ADDRESS(ROW(),COLUMN(),4),L!$A:$A,0)-1,SL,,)&amp;P38</f>
        <v>Cobalt(*)</v>
      </c>
      <c r="C38" s="7"/>
      <c r="D38" s="327" t="s">
        <v>25</v>
      </c>
      <c r="E38" s="328"/>
      <c r="F38" s="41"/>
      <c r="G38" s="329" t="s">
        <v>19211</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
      <c r="A39" s="35"/>
      <c r="B39" s="34" t="str">
        <f ca="1">OFFSET(L!$C$1,MATCH("Declaration"&amp;ADDRESS(ROW(),COLUMN(),4),L!$A:$A,0)-1,SL,,)&amp;P39</f>
        <v>Mica(*)</v>
      </c>
      <c r="C39" s="7"/>
      <c r="D39" s="327" t="s">
        <v>25</v>
      </c>
      <c r="E39" s="328"/>
      <c r="F39" s="41"/>
      <c r="G39" s="329" t="s">
        <v>19211</v>
      </c>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 hidden="1">
      <c r="A40" s="35"/>
      <c r="B40" s="34">
        <f ca="1">OFFSET(L!$C$1,MATCH("Declaration"&amp;ADDRESS(ROW(),COLUMN(),4),L!$A:$A,0)-1,SL,,)</f>
        <v>0</v>
      </c>
      <c r="C40" s="7"/>
      <c r="D40" s="327"/>
      <c r="E40" s="328"/>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 hidden="1">
      <c r="A41" s="35"/>
      <c r="B41" s="34">
        <f ca="1">OFFSET(L!$C$1,MATCH("Declaration"&amp;ADDRESS(ROW(),COLUMN(),4),L!$A:$A,0)-1,SL,,)</f>
        <v>0</v>
      </c>
      <c r="C41" s="7"/>
      <c r="D41" s="327"/>
      <c r="E41" s="328"/>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7">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
      <c r="A44" s="35"/>
      <c r="B44" s="34" t="str">
        <f ca="1">B38</f>
        <v>Cobalt(*)</v>
      </c>
      <c r="C44" s="7"/>
      <c r="D44" s="327" t="s">
        <v>26</v>
      </c>
      <c r="E44" s="328"/>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 hidden="1">
      <c r="A45" s="35"/>
      <c r="B45" s="34"/>
      <c r="C45" s="7"/>
      <c r="D45" s="327"/>
      <c r="E45" s="328"/>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 hidden="1">
      <c r="A46" s="35"/>
      <c r="B46" s="34">
        <f ca="1">B40</f>
        <v>0</v>
      </c>
      <c r="C46" s="7"/>
      <c r="D46" s="336"/>
      <c r="E46" s="337"/>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 hidden="1">
      <c r="A47" s="35"/>
      <c r="B47" s="34">
        <f ca="1">B41</f>
        <v>0</v>
      </c>
      <c r="C47" s="7"/>
      <c r="D47" s="336"/>
      <c r="E47" s="337"/>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7">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5"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
      <c r="A50" s="35"/>
      <c r="B50" s="34" t="str">
        <f ca="1">B38</f>
        <v>Cobalt(*)</v>
      </c>
      <c r="C50" s="29"/>
      <c r="D50" s="389">
        <v>1</v>
      </c>
      <c r="E50" s="390"/>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
      <c r="A51" s="35"/>
      <c r="B51" s="34" t="str">
        <f ca="1">B39</f>
        <v>Mica(*)</v>
      </c>
      <c r="C51" s="29"/>
      <c r="D51" s="389">
        <v>1</v>
      </c>
      <c r="E51" s="390"/>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 hidden="1">
      <c r="A52" s="35"/>
      <c r="B52" s="34">
        <f ca="1">B40</f>
        <v>0</v>
      </c>
      <c r="C52" s="29"/>
      <c r="D52" s="363"/>
      <c r="E52" s="364"/>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 hidden="1">
      <c r="A53" s="35"/>
      <c r="B53" s="34">
        <f ca="1">B41</f>
        <v>0</v>
      </c>
      <c r="C53" s="29"/>
      <c r="D53" s="363"/>
      <c r="E53" s="364"/>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3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7">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
      <c r="A56" s="35"/>
      <c r="B56" s="34" t="str">
        <f ca="1">B38</f>
        <v>Cobalt(*)</v>
      </c>
      <c r="C56" s="7"/>
      <c r="D56" s="347" t="s">
        <v>25</v>
      </c>
      <c r="E56" s="348"/>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
      <c r="A57" s="35"/>
      <c r="B57" s="34" t="str">
        <f ca="1">B39</f>
        <v>Mica(*)</v>
      </c>
      <c r="C57" s="7"/>
      <c r="D57" s="327" t="s">
        <v>25</v>
      </c>
      <c r="E57" s="328"/>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 hidden="1">
      <c r="A58" s="35"/>
      <c r="B58" s="34">
        <f ca="1">B40</f>
        <v>0</v>
      </c>
      <c r="C58" s="7"/>
      <c r="D58" s="336"/>
      <c r="E58" s="337"/>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 hidden="1">
      <c r="A59" s="35"/>
      <c r="B59" s="34">
        <f ca="1">B41</f>
        <v>0</v>
      </c>
      <c r="C59" s="7"/>
      <c r="D59" s="336"/>
      <c r="E59" s="337"/>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3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7">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
      <c r="A62" s="35"/>
      <c r="B62" s="34" t="str">
        <f ca="1">B38</f>
        <v>Cobalt(*)</v>
      </c>
      <c r="C62" s="29"/>
      <c r="D62" s="327" t="s">
        <v>25</v>
      </c>
      <c r="E62" s="328"/>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
      <c r="A63" s="35"/>
      <c r="B63" s="34" t="str">
        <f ca="1">B39</f>
        <v>Mica(*)</v>
      </c>
      <c r="C63" s="29"/>
      <c r="D63" s="327" t="s">
        <v>25</v>
      </c>
      <c r="E63" s="328"/>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 hidden="1">
      <c r="A64" s="35"/>
      <c r="B64" s="34">
        <f ca="1">B40</f>
        <v>0</v>
      </c>
      <c r="C64" s="29"/>
      <c r="D64" s="336"/>
      <c r="E64" s="337"/>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 hidden="1">
      <c r="A65" s="32"/>
      <c r="B65" s="34">
        <f ca="1">B41</f>
        <v>0</v>
      </c>
      <c r="C65" s="43"/>
      <c r="D65" s="336"/>
      <c r="E65" s="337"/>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3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35">
      <c r="A67" s="35"/>
      <c r="B67" s="338" t="str">
        <f ca="1">OFFSET(L!$C$1,MATCH("Declaration"&amp;ADDRESS(ROW(),COLUMN(),4),L!$A:$A,0)-1,SL,,)</f>
        <v>Answer the Following Questions at a Company Level</v>
      </c>
      <c r="C67" s="338"/>
      <c r="D67" s="338"/>
      <c r="E67" s="338"/>
      <c r="F67" s="338"/>
      <c r="G67" s="338"/>
      <c r="H67" s="338"/>
      <c r="I67" s="338"/>
      <c r="J67" s="338"/>
      <c r="K67" s="30"/>
      <c r="L67" s="103"/>
      <c r="P67" s="3"/>
      <c r="Q67" s="3"/>
      <c r="R67" s="3"/>
      <c r="S67" s="3"/>
      <c r="T67" s="3"/>
      <c r="U67" s="3"/>
      <c r="V67" s="3"/>
      <c r="W67" s="3"/>
      <c r="X67" s="3"/>
      <c r="Y67" s="3">
        <v>67</v>
      </c>
      <c r="Z67" s="3"/>
      <c r="AA67" s="3"/>
      <c r="AB67" s="3"/>
      <c r="AC67" s="3"/>
      <c r="AD67" s="3"/>
      <c r="AE67" s="3"/>
      <c r="AF67" s="3"/>
      <c r="AG67" s="3"/>
      <c r="AH67" s="3"/>
    </row>
    <row r="68" spans="1:34" ht="15.3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 customHeight="1">
      <c r="A69" s="35"/>
      <c r="B69" s="50" t="str">
        <f ca="1">OFFSET(L!$C$1,MATCH("Declaration"&amp;ADDRESS(ROW(),COLUMN(),4),L!$A:$A,0)-1,SL,,)&amp;P38</f>
        <v>A. Have you established a responsible minerals sourcing policy?(*)</v>
      </c>
      <c r="C69" s="51"/>
      <c r="D69" s="327" t="s">
        <v>25</v>
      </c>
      <c r="E69" s="328"/>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35">
      <c r="A70" s="35"/>
      <c r="B70" s="52"/>
      <c r="C70" s="9"/>
      <c r="D70" s="1"/>
      <c r="E70" s="1"/>
      <c r="F70" s="9"/>
      <c r="G70" s="341"/>
      <c r="H70" s="341"/>
      <c r="I70" s="341"/>
      <c r="J70" s="341"/>
      <c r="K70" s="30"/>
      <c r="L70" s="102"/>
      <c r="M70" s="101"/>
      <c r="P70" s="3"/>
      <c r="Q70" s="3"/>
      <c r="R70" s="3"/>
      <c r="S70" s="3"/>
      <c r="T70" s="3"/>
      <c r="U70" s="3"/>
      <c r="V70" s="3"/>
      <c r="W70" s="3"/>
      <c r="X70" s="3"/>
      <c r="Y70" s="3">
        <v>70</v>
      </c>
      <c r="Z70" s="3"/>
      <c r="AA70" s="3"/>
      <c r="AB70" s="3"/>
      <c r="AC70" s="3"/>
      <c r="AD70" s="3"/>
      <c r="AE70" s="3"/>
      <c r="AF70" s="3"/>
      <c r="AG70" s="3"/>
      <c r="AH70" s="3"/>
    </row>
    <row r="71" spans="1:34" ht="42.7"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25</v>
      </c>
      <c r="E71" s="328"/>
      <c r="F71" s="51"/>
      <c r="G71" s="343" t="s">
        <v>19212</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3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7"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5"/>
      <c r="E73" s="335"/>
      <c r="F73" s="234"/>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35">
      <c r="A74" s="35"/>
      <c r="B74" s="34" t="str">
        <f ca="1">B38</f>
        <v>Cobalt(*)</v>
      </c>
      <c r="C74" s="29"/>
      <c r="D74" s="327" t="s">
        <v>25</v>
      </c>
      <c r="E74" s="328"/>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35">
      <c r="A75" s="35"/>
      <c r="B75" s="34" t="str">
        <f ca="1">B39</f>
        <v>Mica(*)</v>
      </c>
      <c r="C75" s="29"/>
      <c r="D75" s="327" t="s">
        <v>40</v>
      </c>
      <c r="E75" s="328"/>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3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25</v>
      </c>
      <c r="E77" s="328"/>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3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9" t="s">
        <v>34</v>
      </c>
      <c r="E79" s="34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35">
      <c r="A80" s="35"/>
      <c r="B80" s="55"/>
      <c r="C80" s="9"/>
      <c r="D80" s="1"/>
      <c r="E80" s="1"/>
      <c r="F80" s="10"/>
      <c r="G80" s="341"/>
      <c r="H80" s="341"/>
      <c r="I80" s="341"/>
      <c r="J80" s="341"/>
      <c r="K80" s="30"/>
      <c r="L80" s="102"/>
      <c r="M80" s="101"/>
      <c r="P80" s="3"/>
      <c r="Q80" s="3"/>
      <c r="R80" s="3"/>
      <c r="S80" s="3"/>
      <c r="T80" s="3"/>
      <c r="U80" s="3"/>
      <c r="V80" s="3"/>
      <c r="W80" s="3"/>
      <c r="X80" s="3"/>
      <c r="Y80" s="3">
        <v>80</v>
      </c>
      <c r="Z80" s="3"/>
      <c r="AA80" s="3"/>
      <c r="AB80" s="3"/>
      <c r="AC80" s="3"/>
      <c r="AD80" s="3"/>
      <c r="AE80" s="3"/>
      <c r="AF80" s="3"/>
      <c r="AG80" s="3"/>
      <c r="AH80" s="3"/>
    </row>
    <row r="81" spans="1:34" ht="44.2" customHeight="1">
      <c r="A81" s="35"/>
      <c r="B81" s="50" t="str">
        <f ca="1">OFFSET(L!$C$1,MATCH("Declaration"&amp;ADDRESS(ROW(),COLUMN(),4),L!$A:$A,0)-1,SL,,)&amp;P38</f>
        <v>F. Do you review due diligence information received from your suppliers against your company’s expectations? (*)</v>
      </c>
      <c r="C81" s="51"/>
      <c r="D81" s="327" t="s">
        <v>25</v>
      </c>
      <c r="E81" s="328"/>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35">
      <c r="A82" s="35"/>
      <c r="B82" s="52"/>
      <c r="C82" s="9"/>
      <c r="D82" s="1"/>
      <c r="E82" s="1"/>
      <c r="F82" s="10"/>
      <c r="G82" s="342"/>
      <c r="H82" s="342"/>
      <c r="I82" s="342"/>
      <c r="J82" s="342"/>
      <c r="K82" s="30"/>
      <c r="L82" s="102"/>
      <c r="M82" s="101"/>
      <c r="P82" s="3"/>
      <c r="Q82" s="3"/>
      <c r="R82" s="3"/>
      <c r="S82" s="3"/>
      <c r="T82" s="3"/>
      <c r="U82" s="3"/>
      <c r="V82" s="3"/>
      <c r="W82" s="3"/>
      <c r="X82" s="3"/>
      <c r="Y82" s="3">
        <v>82</v>
      </c>
      <c r="Z82" s="3"/>
      <c r="AA82" s="3"/>
      <c r="AB82" s="3"/>
      <c r="AC82" s="3"/>
      <c r="AD82" s="3"/>
      <c r="AE82" s="3"/>
      <c r="AF82" s="3"/>
      <c r="AG82" s="3"/>
      <c r="AH82" s="3"/>
    </row>
    <row r="83" spans="1:34" ht="45.7" customHeight="1">
      <c r="A83" s="35"/>
      <c r="B83" s="50" t="str">
        <f ca="1">OFFSET(L!$C$1,MATCH("Declaration"&amp;ADDRESS(ROW(),COLUMN(),4),L!$A:$A,0)-1,SL,,)&amp;P38</f>
        <v>G. Does your review process include corrective action management? (*)</v>
      </c>
      <c r="C83" s="51"/>
      <c r="D83" s="327" t="s">
        <v>25</v>
      </c>
      <c r="E83" s="328"/>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35">
      <c r="A84" s="35"/>
      <c r="B84" s="334" t="str">
        <f>IF(OR($D$8="",$I$3=""),"","Click here to check required fields completion")</f>
        <v/>
      </c>
      <c r="C84" s="334"/>
      <c r="D84" s="334"/>
      <c r="E84" s="334"/>
      <c r="F84" s="334"/>
      <c r="G84" s="334"/>
      <c r="H84" s="334"/>
      <c r="I84" s="334"/>
      <c r="J84" s="334"/>
      <c r="K84" s="30"/>
      <c r="L84" s="103"/>
      <c r="P84" s="3"/>
      <c r="Q84" s="3"/>
      <c r="R84" s="3"/>
      <c r="S84" s="3"/>
      <c r="T84" s="3"/>
      <c r="U84" s="3"/>
      <c r="V84" s="3"/>
      <c r="W84" s="3"/>
      <c r="X84" s="3"/>
      <c r="Y84" s="3">
        <v>86</v>
      </c>
      <c r="Z84" s="3"/>
      <c r="AA84" s="3"/>
      <c r="AB84" s="3"/>
      <c r="AC84" s="3"/>
      <c r="AD84" s="3"/>
      <c r="AE84" s="3"/>
      <c r="AF84" s="3"/>
      <c r="AG84" s="3"/>
      <c r="AH84" s="3"/>
    </row>
    <row r="85" spans="1:34" ht="15.7" thickBot="1">
      <c r="A85" s="332" t="str">
        <f ca="1">OFFSET(L!$C$1,MATCH("General"&amp;"Cpy",L!$A:$A,0)-1,SL,,)</f>
        <v>© 2024 Responsible Minerals Initiative. All rights reserved.</v>
      </c>
      <c r="B85" s="333"/>
      <c r="C85" s="333"/>
      <c r="D85" s="333"/>
      <c r="E85" s="333"/>
      <c r="F85" s="333"/>
      <c r="G85" s="333"/>
      <c r="H85" s="333"/>
      <c r="I85" s="333"/>
      <c r="J85" s="333"/>
      <c r="K85" s="56"/>
      <c r="L85" s="103"/>
      <c r="P85" s="3"/>
      <c r="Q85" s="3"/>
      <c r="R85" s="3"/>
      <c r="S85" s="3"/>
      <c r="T85" s="3"/>
      <c r="U85" s="3"/>
      <c r="V85" s="3"/>
      <c r="W85" s="3"/>
      <c r="X85" s="3"/>
      <c r="Y85" s="3">
        <v>87</v>
      </c>
      <c r="Z85" s="3"/>
      <c r="AA85" s="3"/>
      <c r="AB85" s="3"/>
      <c r="AC85" s="3"/>
      <c r="AD85" s="3"/>
      <c r="AE85" s="3"/>
      <c r="AF85" s="3"/>
      <c r="AG85" s="3"/>
      <c r="AH85" s="3"/>
    </row>
    <row r="86" spans="1:34" ht="15.7"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7E0C18B-5CCB-4967-B7BA-B52FF2816E1B}"/>
    <hyperlink ref="D20" r:id="rId2" xr:uid="{79D095FA-8840-42FE-9548-05F79F81E809}"/>
    <hyperlink ref="G71" r:id="rId3" xr:uid="{283D458D-BFCF-42D3-94B9-1AD43D194904}"/>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7" sqref="D7"/>
    </sheetView>
  </sheetViews>
  <sheetFormatPr defaultColWidth="8.89453125" defaultRowHeight="12.35"/>
  <cols>
    <col min="1" max="1" width="13.68359375" style="171" customWidth="1"/>
    <col min="2" max="2" width="13.20703125" style="97" customWidth="1"/>
    <col min="3" max="3" width="40.47265625" style="97" customWidth="1"/>
    <col min="4" max="4" width="30.68359375" style="97" customWidth="1"/>
    <col min="5" max="5" width="20.89453125" style="97" customWidth="1"/>
    <col min="6" max="7" width="13.89453125" style="97" customWidth="1"/>
    <col min="8" max="8" width="25.05078125" style="97" customWidth="1"/>
    <col min="9" max="9" width="24.05078125" style="97" customWidth="1"/>
    <col min="10" max="10" width="18.20703125" style="97" customWidth="1"/>
    <col min="11" max="11" width="27.20703125" style="97" customWidth="1"/>
    <col min="12" max="12" width="20.68359375" style="97" customWidth="1"/>
    <col min="13" max="13" width="35.05078125" style="97" customWidth="1"/>
    <col min="14" max="14" width="42.05078125" style="97" customWidth="1"/>
    <col min="15" max="15" width="32.05078125" style="97" customWidth="1"/>
    <col min="16" max="16" width="22.89453125" style="97" customWidth="1"/>
    <col min="17" max="17" width="43.47265625" style="97" customWidth="1"/>
    <col min="18" max="18" width="35.89453125" style="97" hidden="1" customWidth="1"/>
    <col min="19" max="20" width="17.89453125" style="97" hidden="1" customWidth="1"/>
    <col min="21" max="21" width="8.89453125" style="97" hidden="1" customWidth="1"/>
    <col min="22" max="22" width="6.05078125" style="97" hidden="1" customWidth="1"/>
    <col min="23" max="23" width="8.68359375" style="97" hidden="1" customWidth="1"/>
    <col min="24" max="24" width="8.89453125" style="97" hidden="1" customWidth="1"/>
    <col min="25" max="27" width="4.20703125" style="97" hidden="1" customWidth="1"/>
    <col min="28" max="28" width="7.89453125" style="97" hidden="1" customWidth="1"/>
    <col min="29" max="33" width="4.20703125" style="97" hidden="1" customWidth="1"/>
    <col min="34" max="34" width="14.47265625" style="97" hidden="1" customWidth="1"/>
    <col min="35" max="39" width="8.89453125" style="97" customWidth="1"/>
    <col min="40" max="16384" width="8.89453125" style="97"/>
  </cols>
  <sheetData>
    <row r="1" spans="1:34" s="17" customFormat="1" ht="13"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4" t="s">
        <v>42</v>
      </c>
      <c r="K2" s="395"/>
      <c r="L2" s="395"/>
      <c r="M2" s="395"/>
      <c r="N2" s="395"/>
      <c r="O2" s="395"/>
      <c r="P2" s="163"/>
      <c r="Q2" s="164"/>
      <c r="R2" s="165"/>
      <c r="S2" s="165"/>
      <c r="T2" s="165"/>
      <c r="AH2" s="131" t="s">
        <v>25</v>
      </c>
    </row>
    <row r="3" spans="1:34" s="17" customFormat="1" ht="52.7" customHeight="1">
      <c r="A3" s="202"/>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2"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314"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1"/>
      <c r="L5" s="151"/>
      <c r="M5" s="151"/>
      <c r="N5" s="151"/>
      <c r="O5" s="151"/>
      <c r="P5" s="209"/>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4.7">
      <c r="A6" s="314"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1"/>
      <c r="L6" s="151"/>
      <c r="M6" s="151"/>
      <c r="N6" s="151"/>
      <c r="O6" s="151"/>
      <c r="P6" s="209"/>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
      <c r="A7" s="314"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1"/>
      <c r="L7" s="151"/>
      <c r="M7" s="151"/>
      <c r="N7" s="151"/>
      <c r="O7" s="151"/>
      <c r="P7" s="209"/>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4.7">
      <c r="A8" s="314"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1"/>
      <c r="L8" s="151"/>
      <c r="M8" s="151"/>
      <c r="N8" s="151"/>
      <c r="O8" s="151"/>
      <c r="P8" s="209"/>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4.7">
      <c r="A9" s="314"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1"/>
      <c r="L9" s="151"/>
      <c r="M9" s="151"/>
      <c r="N9" s="151"/>
      <c r="O9" s="151"/>
      <c r="P9" s="209"/>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4.7">
      <c r="A10" s="314"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1"/>
      <c r="L10" s="151"/>
      <c r="M10" s="151"/>
      <c r="N10" s="151"/>
      <c r="O10" s="151"/>
      <c r="P10" s="209"/>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
      <c r="A11" s="314"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6">
        <f ca="1">IF(ISERROR($V11),"",OFFSET('Smelter Look-up'!$G$4,$V11-4,0))</f>
        <v>0</v>
      </c>
      <c r="I11" s="207" t="str">
        <f ca="1">IF(ISERROR($V11),"",OFFSET('Smelter Look-up'!$H$4,$V11-4,0))</f>
        <v>Tongxiang</v>
      </c>
      <c r="J11" s="207" t="str">
        <f ca="1">IF(ISERROR($V11),"",OFFSET('Smelter Look-up'!$I$4,$V11-4,0))</f>
        <v>Zhejiang Sheng</v>
      </c>
      <c r="K11" s="151"/>
      <c r="L11" s="151"/>
      <c r="M11" s="151"/>
      <c r="N11" s="151"/>
      <c r="O11" s="151"/>
      <c r="P11" s="209"/>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0">
      <c r="A12" s="314"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1"/>
      <c r="L12" s="151"/>
      <c r="M12" s="151"/>
      <c r="N12" s="151"/>
      <c r="O12" s="151"/>
      <c r="P12" s="209"/>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0">
      <c r="A13" s="314"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1"/>
      <c r="L13" s="151"/>
      <c r="M13" s="151"/>
      <c r="N13" s="151"/>
      <c r="O13" s="151"/>
      <c r="P13" s="209"/>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0">
      <c r="A14" s="314"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6">
        <f ca="1">IF(ISERROR($V14),"",OFFSET('Smelter Look-up'!$G$4,$V14-4,0))</f>
        <v>0</v>
      </c>
      <c r="I14" s="207" t="str">
        <f ca="1">IF(ISERROR($V14),"",OFFSET('Smelter Look-up'!$H$4,$V14-4,0))</f>
        <v>Toamasina</v>
      </c>
      <c r="J14" s="207" t="str">
        <f ca="1">IF(ISERROR($V14),"",OFFSET('Smelter Look-up'!$I$4,$V14-4,0))</f>
        <v>Toamasina</v>
      </c>
      <c r="K14" s="151"/>
      <c r="L14" s="151"/>
      <c r="M14" s="151"/>
      <c r="N14" s="151"/>
      <c r="O14" s="151"/>
      <c r="P14" s="209"/>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0">
      <c r="A15" s="314" t="s">
        <v>263</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6">
        <f ca="1">IF(ISERROR($V15),"",OFFSET('Smelter Look-up'!$G$4,$V15-4,0))</f>
        <v>0</v>
      </c>
      <c r="I15" s="207" t="str">
        <f ca="1">IF(ISERROR($V15),"",OFFSET('Smelter Look-up'!$H$4,$V15-4,0))</f>
        <v>Port Colborne</v>
      </c>
      <c r="J15" s="207" t="str">
        <f ca="1">IF(ISERROR($V15),"",OFFSET('Smelter Look-up'!$I$4,$V15-4,0))</f>
        <v>Ontario</v>
      </c>
      <c r="K15" s="151"/>
      <c r="L15" s="151"/>
      <c r="M15" s="151"/>
      <c r="N15" s="151"/>
      <c r="O15" s="151"/>
      <c r="P15" s="209"/>
      <c r="Q15" s="152"/>
      <c r="R15" s="150" t="str">
        <f ca="1">IF(ISERROR($V15),"",OFFSET('Smelter Look-up'!$C$4,$V15-4,0)&amp;"")</f>
        <v>Port Colborne Refinery</v>
      </c>
      <c r="S15" s="156" t="str">
        <f t="shared" ca="1" si="0"/>
        <v>CA</v>
      </c>
      <c r="T15" s="156" t="str">
        <f ca="1">IF(B15="","",IF(ISERROR(MATCH($J15,SorP!$B$1:$B$6226,0)),"",INDIRECT("'SorP'!$A$"&amp;MATCH($S15&amp;$J15,SorP!C:C,0))))</f>
        <v>CA-ON</v>
      </c>
      <c r="U15" s="169"/>
      <c r="V15" s="170">
        <f ca="1">IF(C15="",NA(),MATCH($B15&amp;$C15,'Smelter Look-up'!$J:$J,0))</f>
        <v>113</v>
      </c>
      <c r="X15" s="171">
        <f t="shared" ca="1" si="1"/>
        <v>0</v>
      </c>
      <c r="AB15" s="171" t="str">
        <f t="shared" ca="1" si="2"/>
        <v>CobaltPort Colborne Refinery</v>
      </c>
    </row>
    <row r="16" spans="1:34" s="171" customFormat="1" ht="24.7">
      <c r="A16" s="314" t="s">
        <v>271</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6">
        <f ca="1">IF(ISERROR($V16),"",OFFSET('Smelter Look-up'!$G$4,$V16-4,0))</f>
        <v>0</v>
      </c>
      <c r="I16" s="207" t="str">
        <f ca="1">IF(ISERROR($V16),"",OFFSET('Smelter Look-up'!$H$4,$V16-4,0))</f>
        <v>Quzhou</v>
      </c>
      <c r="J16" s="207" t="str">
        <f ca="1">IF(ISERROR($V16),"",OFFSET('Smelter Look-up'!$I$4,$V16-4,0))</f>
        <v>Zhejiang Sheng</v>
      </c>
      <c r="K16" s="151"/>
      <c r="L16" s="151"/>
      <c r="M16" s="151"/>
      <c r="N16" s="151"/>
      <c r="O16" s="151"/>
      <c r="P16" s="209"/>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 ca="1">IF(C16="",NA(),MATCH($B16&amp;$C16,'Smelter Look-up'!$J:$J,0))</f>
        <v>118</v>
      </c>
      <c r="X16" s="171">
        <f t="shared" ca="1" si="1"/>
        <v>0</v>
      </c>
      <c r="AB16" s="171" t="str">
        <f t="shared" ca="1" si="2"/>
        <v>CobaltQuzhou Huayou Cobalt New Material Co., Ltd.</v>
      </c>
    </row>
    <row r="17" spans="1:28" s="171" customFormat="1" ht="24.7">
      <c r="A17" s="314"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6">
        <f ca="1">IF(ISERROR($V17),"",OFFSET('Smelter Look-up'!$G$4,$V17-4,0))</f>
        <v>0</v>
      </c>
      <c r="I17" s="207" t="str">
        <f ca="1">IF(ISERROR($V17),"",OFFSET('Smelter Look-up'!$H$4,$V17-4,0))</f>
        <v>Kolwezi</v>
      </c>
      <c r="J17" s="207" t="str">
        <f ca="1">IF(ISERROR($V17),"",OFFSET('Smelter Look-up'!$I$4,$V17-4,0))</f>
        <v>Lualaba</v>
      </c>
      <c r="K17" s="151"/>
      <c r="L17" s="151"/>
      <c r="M17" s="151"/>
      <c r="N17" s="151"/>
      <c r="O17" s="151"/>
      <c r="P17" s="209"/>
      <c r="Q17" s="152"/>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4.7">
      <c r="A18" s="314" t="s">
        <v>67</v>
      </c>
      <c r="B18" s="150" t="str">
        <f ca="1">IF(LEN(A18)=0,"",INDEX('Smelter Look-up'!$A:$A,MATCH($A18,'Smelter Look-up'!$E:$E,0)))</f>
        <v>Cobalt</v>
      </c>
      <c r="C18" s="153" t="str">
        <f ca="1">IF(LEN(A18)=0,"",INDEX('Smelter Look-up'!$C:$C,MATCH($A18,'Smelter Look-up'!$E:$E,0)))</f>
        <v>Chemaf Etoile</v>
      </c>
      <c r="D18" s="150"/>
      <c r="E18" s="150" t="str">
        <f ca="1">IF(ISERROR($V18),"",OFFSET('Smelter Look-up'!$D$4,$V18-4,0)&amp;"")</f>
        <v>CONGO, DEMOCRATIC REPUBLIC OF THE</v>
      </c>
      <c r="F18" s="150" t="str">
        <f ca="1">IF(ISERROR($V18),"",OFFSET('Smelter Look-up'!$E$4,$V18-4,0))</f>
        <v>CID003264</v>
      </c>
      <c r="G18" s="150" t="str">
        <f ca="1">IF(C18=$X$4,"Enter smelter details",IF(ISERROR($V18),"",OFFSET('Smelter Look-up'!$F$4,$V18-4,0)))</f>
        <v>RMI</v>
      </c>
      <c r="H18" s="206">
        <f ca="1">IF(ISERROR($V18),"",OFFSET('Smelter Look-up'!$G$4,$V18-4,0))</f>
        <v>0</v>
      </c>
      <c r="I18" s="207" t="str">
        <f ca="1">IF(ISERROR($V18),"",OFFSET('Smelter Look-up'!$H$4,$V18-4,0))</f>
        <v>Lubumbashi</v>
      </c>
      <c r="J18" s="207" t="str">
        <f ca="1">IF(ISERROR($V18),"",OFFSET('Smelter Look-up'!$I$4,$V18-4,0))</f>
        <v>Haut-Katanga</v>
      </c>
      <c r="K18" s="151"/>
      <c r="L18" s="151"/>
      <c r="M18" s="151"/>
      <c r="N18" s="151"/>
      <c r="O18" s="151"/>
      <c r="P18" s="209"/>
      <c r="Q18" s="152"/>
      <c r="R18" s="150" t="str">
        <f ca="1">IF(ISERROR($V18),"",OFFSET('Smelter Look-up'!$C$4,$V18-4,0)&amp;"")</f>
        <v>Chemaf Etoile</v>
      </c>
      <c r="S18" s="156" t="str">
        <f t="shared" ca="1" si="0"/>
        <v>CD</v>
      </c>
      <c r="T18" s="156" t="str">
        <f ca="1">IF(B18="","",IF(ISERROR(MATCH($J18,SorP!$B$1:$B$6226,0)),"",INDIRECT("'SorP'!$A$"&amp;MATCH($S18&amp;$J18,SorP!C:C,0))))</f>
        <v>CD-HK</v>
      </c>
      <c r="U18" s="169"/>
      <c r="V18" s="170">
        <f ca="1">IF(C18="",NA(),MATCH($B18&amp;$C18,'Smelter Look-up'!$J:$J,0))</f>
        <v>8</v>
      </c>
      <c r="X18" s="171">
        <f t="shared" ca="1" si="1"/>
        <v>0</v>
      </c>
      <c r="AB18" s="171" t="str">
        <f t="shared" ca="1" si="2"/>
        <v>CobaltChemaf Etoile</v>
      </c>
    </row>
    <row r="19" spans="1:28" s="171" customFormat="1" ht="24.7">
      <c r="A19" s="314" t="s">
        <v>279</v>
      </c>
      <c r="B19" s="150" t="str">
        <f ca="1">IF(LEN(A19)=0,"",INDEX('Smelter Look-up'!$A:$A,MATCH($A19,'Smelter Look-up'!$E:$E,0)))</f>
        <v>Cobalt</v>
      </c>
      <c r="C19" s="153" t="str">
        <f ca="1">IF(LEN(A19)=0,"",INDEX('Smelter Look-up'!$C:$C,MATCH($A19,'Smelter Look-up'!$E:$E,0)))</f>
        <v>Societe pour le Traitment du Terril de Lubumbashi (STL)</v>
      </c>
      <c r="D19" s="150"/>
      <c r="E19" s="150" t="str">
        <f ca="1">IF(ISERROR($V19),"",OFFSET('Smelter Look-up'!$D$4,$V19-4,0)&amp;"")</f>
        <v>CONGO, DEMOCRATIC REPUBLIC OF THE</v>
      </c>
      <c r="F19" s="150" t="str">
        <f ca="1">IF(ISERROR($V19),"",OFFSET('Smelter Look-up'!$E$4,$V19-4,0))</f>
        <v>CID003266</v>
      </c>
      <c r="G19" s="150" t="str">
        <f ca="1">IF(C19=$X$4,"Enter smelter details",IF(ISERROR($V19),"",OFFSET('Smelter Look-up'!$F$4,$V19-4,0)))</f>
        <v>RMI</v>
      </c>
      <c r="H19" s="206">
        <f ca="1">IF(ISERROR($V19),"",OFFSET('Smelter Look-up'!$G$4,$V19-4,0))</f>
        <v>0</v>
      </c>
      <c r="I19" s="207" t="str">
        <f ca="1">IF(ISERROR($V19),"",OFFSET('Smelter Look-up'!$H$4,$V19-4,0))</f>
        <v>Lubumbashi</v>
      </c>
      <c r="J19" s="207" t="str">
        <f ca="1">IF(ISERROR($V19),"",OFFSET('Smelter Look-up'!$I$4,$V19-4,0))</f>
        <v>Haut-Katanga</v>
      </c>
      <c r="K19" s="151"/>
      <c r="L19" s="151"/>
      <c r="M19" s="151"/>
      <c r="N19" s="151"/>
      <c r="O19" s="151"/>
      <c r="P19" s="209"/>
      <c r="Q19" s="152"/>
      <c r="R19" s="150" t="str">
        <f ca="1">IF(ISERROR($V19),"",OFFSET('Smelter Look-up'!$C$4,$V19-4,0)&amp;"")</f>
        <v>Societe pour le Traitment du Terril de Lubumbashi (STL)</v>
      </c>
      <c r="S19" s="156" t="str">
        <f t="shared" ca="1" si="0"/>
        <v>CD</v>
      </c>
      <c r="T19" s="156" t="str">
        <f ca="1">IF(B19="","",IF(ISERROR(MATCH($J19,SorP!$B$1:$B$6226,0)),"",INDIRECT("'SorP'!$A$"&amp;MATCH($S19&amp;$J19,SorP!C:C,0))))</f>
        <v>CD-HK</v>
      </c>
      <c r="U19" s="169"/>
      <c r="V19" s="170">
        <f ca="1">IF(C19="",NA(),MATCH($B19&amp;$C19,'Smelter Look-up'!$J:$J,0))</f>
        <v>128</v>
      </c>
      <c r="X19" s="171">
        <f t="shared" ca="1" si="1"/>
        <v>0</v>
      </c>
      <c r="AB19" s="171" t="str">
        <f t="shared" ca="1" si="2"/>
        <v>CobaltSociete pour le Traitment du Terril de Lubumbashi (STL)</v>
      </c>
    </row>
    <row r="20" spans="1:28" s="171" customFormat="1" ht="24.7">
      <c r="A20" s="314" t="s">
        <v>189</v>
      </c>
      <c r="B20" s="150" t="str">
        <f ca="1">IF(LEN(A20)=0,"",INDEX('Smelter Look-up'!$A:$A,MATCH($A20,'Smelter Look-up'!$E:$E,0)))</f>
        <v>Cobalt</v>
      </c>
      <c r="C20" s="153" t="str">
        <f ca="1">IF(LEN(A20)=0,"",INDEX('Smelter Look-up'!$C:$C,MATCH($A20,'Smelter Look-up'!$E:$E,0)))</f>
        <v>La Compagnie de Traitement des Rejets de Kingamyambo S.A. (Metalkol S.A.)</v>
      </c>
      <c r="D20" s="150"/>
      <c r="E20" s="150" t="str">
        <f ca="1">IF(ISERROR($V20),"",OFFSET('Smelter Look-up'!$D$4,$V20-4,0)&amp;"")</f>
        <v>CONGO, DEMOCRATIC REPUBLIC OF THE</v>
      </c>
      <c r="F20" s="150" t="str">
        <f ca="1">IF(ISERROR($V20),"",OFFSET('Smelter Look-up'!$E$4,$V20-4,0))</f>
        <v>CID003275</v>
      </c>
      <c r="G20" s="150" t="str">
        <f ca="1">IF(C20=$X$4,"Enter smelter details",IF(ISERROR($V20),"",OFFSET('Smelter Look-up'!$F$4,$V20-4,0)))</f>
        <v>RMI</v>
      </c>
      <c r="H20" s="206">
        <f ca="1">IF(ISERROR($V20),"",OFFSET('Smelter Look-up'!$G$4,$V20-4,0))</f>
        <v>0</v>
      </c>
      <c r="I20" s="207" t="str">
        <f ca="1">IF(ISERROR($V20),"",OFFSET('Smelter Look-up'!$H$4,$V20-4,0))</f>
        <v>Lubumbashi</v>
      </c>
      <c r="J20" s="207" t="str">
        <f ca="1">IF(ISERROR($V20),"",OFFSET('Smelter Look-up'!$I$4,$V20-4,0))</f>
        <v>Haut-Katanga</v>
      </c>
      <c r="K20" s="151"/>
      <c r="L20" s="151"/>
      <c r="M20" s="151"/>
      <c r="N20" s="151"/>
      <c r="O20" s="151"/>
      <c r="P20" s="209"/>
      <c r="Q20" s="152"/>
      <c r="R20" s="150" t="str">
        <f ca="1">IF(ISERROR($V20),"",OFFSET('Smelter Look-up'!$C$4,$V20-4,0)&amp;"")</f>
        <v>La Compagnie de Traitement des Rejets de Kingamyambo S.A. (Metalkol S.A.)</v>
      </c>
      <c r="S20" s="156" t="str">
        <f t="shared" ca="1" si="0"/>
        <v>CD</v>
      </c>
      <c r="T20" s="156" t="str">
        <f ca="1">IF(B20="","",IF(ISERROR(MATCH($J20,SorP!$B$1:$B$6226,0)),"",INDIRECT("'SorP'!$A$"&amp;MATCH($S20&amp;$J20,SorP!C:C,0))))</f>
        <v>CD-HK</v>
      </c>
      <c r="U20" s="169"/>
      <c r="V20" s="170">
        <f ca="1">IF(C20="",NA(),MATCH($B20&amp;$C20,'Smelter Look-up'!$J:$J,0))</f>
        <v>70</v>
      </c>
      <c r="X20" s="171">
        <f t="shared" ca="1" si="1"/>
        <v>0</v>
      </c>
      <c r="AB20" s="171" t="str">
        <f t="shared" ca="1" si="2"/>
        <v>CobaltLa Compagnie de Traitement des Rejets de Kingamyambo S.A. (Metalkol S.A.)</v>
      </c>
    </row>
    <row r="21" spans="1:28" s="171" customFormat="1" ht="24.7">
      <c r="A21" s="314" t="s">
        <v>250</v>
      </c>
      <c r="B21" s="150" t="str">
        <f ca="1">IF(LEN(A21)=0,"",INDEX('Smelter Look-up'!$A:$A,MATCH($A21,'Smelter Look-up'!$E:$E,0)))</f>
        <v>Cobalt</v>
      </c>
      <c r="C21" s="153" t="str">
        <f ca="1">IF(LEN(A21)=0,"",INDEX('Smelter Look-up'!$C:$C,MATCH($A21,'Smelter Look-up'!$E:$E,0)))</f>
        <v>Niihama Nickel Refinery, Sumitomo Metal Mining</v>
      </c>
      <c r="D21" s="150"/>
      <c r="E21" s="150" t="str">
        <f ca="1">IF(ISERROR($V21),"",OFFSET('Smelter Look-up'!$D$4,$V21-4,0)&amp;"")</f>
        <v>JAPAN</v>
      </c>
      <c r="F21" s="150" t="str">
        <f ca="1">IF(ISERROR($V21),"",OFFSET('Smelter Look-up'!$E$4,$V21-4,0))</f>
        <v>CID003278</v>
      </c>
      <c r="G21" s="150" t="str">
        <f ca="1">IF(C21=$X$4,"Enter smelter details",IF(ISERROR($V21),"",OFFSET('Smelter Look-up'!$F$4,$V21-4,0)))</f>
        <v>RMI</v>
      </c>
      <c r="H21" s="206">
        <f ca="1">IF(ISERROR($V21),"",OFFSET('Smelter Look-up'!$G$4,$V21-4,0))</f>
        <v>0</v>
      </c>
      <c r="I21" s="207" t="str">
        <f ca="1">IF(ISERROR($V21),"",OFFSET('Smelter Look-up'!$H$4,$V21-4,0))</f>
        <v>Niihama</v>
      </c>
      <c r="J21" s="207" t="str">
        <f ca="1">IF(ISERROR($V21),"",OFFSET('Smelter Look-up'!$I$4,$V21-4,0))</f>
        <v>Ehime</v>
      </c>
      <c r="K21" s="151"/>
      <c r="L21" s="151"/>
      <c r="M21" s="151"/>
      <c r="N21" s="151"/>
      <c r="O21" s="151"/>
      <c r="P21" s="209"/>
      <c r="Q21" s="152"/>
      <c r="R21" s="150" t="str">
        <f ca="1">IF(ISERROR($V21),"",OFFSET('Smelter Look-up'!$C$4,$V21-4,0)&amp;"")</f>
        <v>Niihama Nickel Refinery, Sumitomo Metal Mining</v>
      </c>
      <c r="S21" s="156" t="str">
        <f t="shared" ca="1" si="0"/>
        <v>JP</v>
      </c>
      <c r="T21" s="156" t="str">
        <f ca="1">IF(B21="","",IF(ISERROR(MATCH($J21,SorP!$B$1:$B$6226,0)),"",INDIRECT("'SorP'!$A$"&amp;MATCH($S21&amp;$J21,SorP!C:C,0))))</f>
        <v>JP-38</v>
      </c>
      <c r="U21" s="169"/>
      <c r="V21" s="170">
        <f ca="1">IF(C21="",NA(),MATCH($B21&amp;$C21,'Smelter Look-up'!$J:$J,0))</f>
        <v>108</v>
      </c>
      <c r="X21" s="171">
        <f t="shared" ca="1" si="1"/>
        <v>0</v>
      </c>
      <c r="AB21" s="171" t="str">
        <f t="shared" ca="1" si="2"/>
        <v>CobaltNiihama Nickel Refinery, Sumitomo Metal Mining</v>
      </c>
    </row>
    <row r="22" spans="1:28" s="171" customFormat="1" ht="20">
      <c r="A22" s="314" t="s">
        <v>231</v>
      </c>
      <c r="B22" s="150" t="str">
        <f ca="1">IF(LEN(A22)=0,"",INDEX('Smelter Look-up'!$A:$A,MATCH($A22,'Smelter Look-up'!$E:$E,0)))</f>
        <v>Cobalt</v>
      </c>
      <c r="C22" s="153" t="str">
        <f ca="1">IF(LEN(A22)=0,"",INDEX('Smelter Look-up'!$C:$C,MATCH($A22,'Smelter Look-up'!$E:$E,0)))</f>
        <v>Mine de Bou-Azzer</v>
      </c>
      <c r="D22" s="150"/>
      <c r="E22" s="150" t="str">
        <f ca="1">IF(ISERROR($V22),"",OFFSET('Smelter Look-up'!$D$4,$V22-4,0)&amp;"")</f>
        <v>MOROCCO</v>
      </c>
      <c r="F22" s="150" t="str">
        <f ca="1">IF(ISERROR($V22),"",OFFSET('Smelter Look-up'!$E$4,$V22-4,0))</f>
        <v>CID003279</v>
      </c>
      <c r="G22" s="150" t="str">
        <f ca="1">IF(C22=$X$4,"Enter smelter details",IF(ISERROR($V22),"",OFFSET('Smelter Look-up'!$F$4,$V22-4,0)))</f>
        <v>RMI</v>
      </c>
      <c r="H22" s="206">
        <f ca="1">IF(ISERROR($V22),"",OFFSET('Smelter Look-up'!$G$4,$V22-4,0))</f>
        <v>0</v>
      </c>
      <c r="I22" s="207" t="str">
        <f ca="1">IF(ISERROR($V22),"",OFFSET('Smelter Look-up'!$H$4,$V22-4,0))</f>
        <v>Tazenakht</v>
      </c>
      <c r="J22" s="207" t="str">
        <f ca="1">IF(ISERROR($V22),"",OFFSET('Smelter Look-up'!$I$4,$V22-4,0))</f>
        <v>Drâa-Tafilalet</v>
      </c>
      <c r="K22" s="151"/>
      <c r="L22" s="151"/>
      <c r="M22" s="151"/>
      <c r="N22" s="151"/>
      <c r="O22" s="151"/>
      <c r="P22" s="209"/>
      <c r="Q22" s="152"/>
      <c r="R22" s="150" t="str">
        <f ca="1">IF(ISERROR($V22),"",OFFSET('Smelter Look-up'!$C$4,$V22-4,0)&amp;"")</f>
        <v>Mine de Bou-Azzer</v>
      </c>
      <c r="S22" s="156" t="str">
        <f t="shared" ca="1" si="0"/>
        <v>MA</v>
      </c>
      <c r="T22" s="156" t="str">
        <f ca="1">IF(B22="","",IF(ISERROR(MATCH($J22,SorP!$B$1:$B$6226,0)),"",INDIRECT("'SorP'!$A$"&amp;MATCH($S22&amp;$J22,SorP!C:C,0))))</f>
        <v>MA-08</v>
      </c>
      <c r="U22" s="169"/>
      <c r="V22" s="170">
        <f ca="1">IF(C22="",NA(),MATCH($B22&amp;$C22,'Smelter Look-up'!$J:$J,0))</f>
        <v>91</v>
      </c>
      <c r="X22" s="171">
        <f t="shared" ca="1" si="1"/>
        <v>0</v>
      </c>
      <c r="AB22" s="171" t="str">
        <f t="shared" ca="1" si="2"/>
        <v>CobaltMine de Bou-Azzer</v>
      </c>
    </row>
    <row r="23" spans="1:28" s="171" customFormat="1" ht="20">
      <c r="A23" s="314" t="s">
        <v>78</v>
      </c>
      <c r="B23" s="150" t="str">
        <f ca="1">IF(LEN(A23)=0,"",INDEX('Smelter Look-up'!$A:$A,MATCH($A23,'Smelter Look-up'!$E:$E,0)))</f>
        <v>Cobalt</v>
      </c>
      <c r="C23" s="153" t="str">
        <f ca="1">IF(LEN(A23)=0,"",INDEX('Smelter Look-up'!$C:$C,MATCH($A23,'Smelter Look-up'!$E:$E,0)))</f>
        <v>Compagnie de Tifnout Tiranimine</v>
      </c>
      <c r="D23" s="150"/>
      <c r="E23" s="150" t="str">
        <f ca="1">IF(ISERROR($V23),"",OFFSET('Smelter Look-up'!$D$4,$V23-4,0)&amp;"")</f>
        <v>MOROCCO</v>
      </c>
      <c r="F23" s="150" t="str">
        <f ca="1">IF(ISERROR($V23),"",OFFSET('Smelter Look-up'!$E$4,$V23-4,0))</f>
        <v>CID003280</v>
      </c>
      <c r="G23" s="150" t="str">
        <f ca="1">IF(C23=$X$4,"Enter smelter details",IF(ISERROR($V23),"",OFFSET('Smelter Look-up'!$F$4,$V23-4,0)))</f>
        <v>RMI</v>
      </c>
      <c r="H23" s="206">
        <f ca="1">IF(ISERROR($V23),"",OFFSET('Smelter Look-up'!$G$4,$V23-4,0))</f>
        <v>0</v>
      </c>
      <c r="I23" s="207" t="str">
        <f ca="1">IF(ISERROR($V23),"",OFFSET('Smelter Look-up'!$H$4,$V23-4,0))</f>
        <v>Marrakech</v>
      </c>
      <c r="J23" s="207" t="str">
        <f ca="1">IF(ISERROR($V23),"",OFFSET('Smelter Look-up'!$I$4,$V23-4,0))</f>
        <v>Marrakech-Safi</v>
      </c>
      <c r="K23" s="151"/>
      <c r="L23" s="151"/>
      <c r="M23" s="151"/>
      <c r="N23" s="151"/>
      <c r="O23" s="151"/>
      <c r="P23" s="209"/>
      <c r="Q23" s="152"/>
      <c r="R23" s="150" t="str">
        <f ca="1">IF(ISERROR($V23),"",OFFSET('Smelter Look-up'!$C$4,$V23-4,0)&amp;"")</f>
        <v>Compagnie de Tifnout Tiranimine</v>
      </c>
      <c r="S23" s="156" t="str">
        <f t="shared" ca="1" si="0"/>
        <v>MA</v>
      </c>
      <c r="T23" s="156" t="str">
        <f ca="1">IF(B23="","",IF(ISERROR(MATCH($J23,SorP!$B$1:$B$6226,0)),"",INDIRECT("'SorP'!$A$"&amp;MATCH($S23&amp;$J23,SorP!C:C,0))))</f>
        <v>MA-07</v>
      </c>
      <c r="U23" s="169"/>
      <c r="V23" s="170">
        <f ca="1">IF(C23="",NA(),MATCH($B23&amp;$C23,'Smelter Look-up'!$J:$J,0))</f>
        <v>11</v>
      </c>
      <c r="X23" s="171">
        <f t="shared" ca="1" si="1"/>
        <v>0</v>
      </c>
      <c r="AB23" s="171" t="str">
        <f t="shared" ca="1" si="2"/>
        <v>CobaltCompagnie de Tifnout Tiranimine</v>
      </c>
    </row>
    <row r="24" spans="1:28" s="171" customFormat="1" ht="24.7">
      <c r="A24" s="314" t="s">
        <v>126</v>
      </c>
      <c r="B24" s="150" t="str">
        <f ca="1">IF(LEN(A24)=0,"",INDEX('Smelter Look-up'!$A:$A,MATCH($A24,'Smelter Look-up'!$E:$E,0)))</f>
        <v>Cobalt</v>
      </c>
      <c r="C24" s="153" t="str">
        <f ca="1">IF(LEN(A24)=0,"",INDEX('Smelter Look-up'!$C:$C,MATCH($A24,'Smelter Look-up'!$E:$E,0)))</f>
        <v>Guangdong Jiana Energy Technology Co., Ltd.</v>
      </c>
      <c r="D24" s="150"/>
      <c r="E24" s="150" t="str">
        <f ca="1">IF(ISERROR($V24),"",OFFSET('Smelter Look-up'!$D$4,$V24-4,0)&amp;"")</f>
        <v>CHINA</v>
      </c>
      <c r="F24" s="150" t="str">
        <f ca="1">IF(ISERROR($V24),"",OFFSET('Smelter Look-up'!$E$4,$V24-4,0))</f>
        <v>CID003291</v>
      </c>
      <c r="G24" s="150" t="str">
        <f ca="1">IF(C24=$X$4,"Enter smelter details",IF(ISERROR($V24),"",OFFSET('Smelter Look-up'!$F$4,$V24-4,0)))</f>
        <v>RMI</v>
      </c>
      <c r="H24" s="206">
        <f ca="1">IF(ISERROR($V24),"",OFFSET('Smelter Look-up'!$G$4,$V24-4,0))</f>
        <v>0</v>
      </c>
      <c r="I24" s="207" t="str">
        <f ca="1">IF(ISERROR($V24),"",OFFSET('Smelter Look-up'!$H$4,$V24-4,0))</f>
        <v>Guangzhou</v>
      </c>
      <c r="J24" s="207" t="str">
        <f ca="1">IF(ISERROR($V24),"",OFFSET('Smelter Look-up'!$I$4,$V24-4,0))</f>
        <v>Guangdong Sheng</v>
      </c>
      <c r="K24" s="151"/>
      <c r="L24" s="151"/>
      <c r="M24" s="151"/>
      <c r="N24" s="151"/>
      <c r="O24" s="151"/>
      <c r="P24" s="209"/>
      <c r="Q24" s="152"/>
      <c r="R24" s="150" t="str">
        <f ca="1">IF(ISERROR($V24),"",OFFSET('Smelter Look-up'!$C$4,$V24-4,0)&amp;"")</f>
        <v>Guangdong Jiana Energy Technology Co., Ltd.</v>
      </c>
      <c r="S24" s="156" t="str">
        <f t="shared" ca="1" si="0"/>
        <v>CN</v>
      </c>
      <c r="T24" s="156" t="str">
        <f ca="1">IF(B24="","",IF(ISERROR(MATCH($J24,SorP!$B$1:$B$6226,0)),"",INDIRECT("'SorP'!$A$"&amp;MATCH($S24&amp;$J24,SorP!C:C,0))))</f>
        <v>CN-GD</v>
      </c>
      <c r="U24" s="169"/>
      <c r="V24" s="170">
        <f ca="1">IF(C24="",NA(),MATCH($B24&amp;$C24,'Smelter Look-up'!$J:$J,0))</f>
        <v>33</v>
      </c>
      <c r="X24" s="171">
        <f t="shared" ca="1" si="1"/>
        <v>0</v>
      </c>
      <c r="AB24" s="171" t="str">
        <f t="shared" ca="1" si="2"/>
        <v>CobaltGuangdong Jiana Energy Technology Co., Ltd.</v>
      </c>
    </row>
    <row r="25" spans="1:28" s="171" customFormat="1" ht="20">
      <c r="A25" s="314" t="s">
        <v>170</v>
      </c>
      <c r="B25" s="150" t="str">
        <f ca="1">IF(LEN(A25)=0,"",INDEX('Smelter Look-up'!$A:$A,MATCH($A25,'Smelter Look-up'!$E:$E,0)))</f>
        <v>Cobalt</v>
      </c>
      <c r="C25" s="153" t="str">
        <f ca="1">IF(LEN(A25)=0,"",INDEX('Smelter Look-up'!$C:$C,MATCH($A25,'Smelter Look-up'!$E:$E,0)))</f>
        <v>Jiangsu Xiongfeng Technology Co., Ltd.</v>
      </c>
      <c r="D25" s="150"/>
      <c r="E25" s="150" t="str">
        <f ca="1">IF(ISERROR($V25),"",OFFSET('Smelter Look-up'!$D$4,$V25-4,0)&amp;"")</f>
        <v>CHINA</v>
      </c>
      <c r="F25" s="150" t="str">
        <f ca="1">IF(ISERROR($V25),"",OFFSET('Smelter Look-up'!$E$4,$V25-4,0))</f>
        <v>CID003293</v>
      </c>
      <c r="G25" s="150" t="str">
        <f ca="1">IF(C25=$X$4,"Enter smelter details",IF(ISERROR($V25),"",OFFSET('Smelter Look-up'!$F$4,$V25-4,0)))</f>
        <v>RMI</v>
      </c>
      <c r="H25" s="206">
        <f ca="1">IF(ISERROR($V25),"",OFFSET('Smelter Look-up'!$G$4,$V25-4,0))</f>
        <v>0</v>
      </c>
      <c r="I25" s="207" t="str">
        <f ca="1">IF(ISERROR($V25),"",OFFSET('Smelter Look-up'!$H$4,$V25-4,0))</f>
        <v>Haimen</v>
      </c>
      <c r="J25" s="207" t="str">
        <f ca="1">IF(ISERROR($V25),"",OFFSET('Smelter Look-up'!$I$4,$V25-4,0))</f>
        <v>Jiangsu Sheng</v>
      </c>
      <c r="K25" s="151"/>
      <c r="L25" s="151"/>
      <c r="M25" s="151"/>
      <c r="N25" s="151"/>
      <c r="O25" s="151"/>
      <c r="P25" s="209"/>
      <c r="Q25" s="152"/>
      <c r="R25" s="150" t="str">
        <f ca="1">IF(ISERROR($V25),"",OFFSET('Smelter Look-up'!$C$4,$V25-4,0)&amp;"")</f>
        <v>Jiangsu Xiongfeng Technology Co., Ltd.</v>
      </c>
      <c r="S25" s="156" t="str">
        <f t="shared" ca="1" si="0"/>
        <v>CN</v>
      </c>
      <c r="T25" s="156" t="str">
        <f ca="1">IF(B25="","",IF(ISERROR(MATCH($J25,SorP!$B$1:$B$6226,0)),"",INDIRECT("'SorP'!$A$"&amp;MATCH($S25&amp;$J25,SorP!C:C,0))))</f>
        <v>CN-JS</v>
      </c>
      <c r="U25" s="169"/>
      <c r="V25" s="170">
        <f ca="1">IF(C25="",NA(),MATCH($B25&amp;$C25,'Smelter Look-up'!$J:$J,0))</f>
        <v>57</v>
      </c>
      <c r="X25" s="171">
        <f t="shared" ca="1" si="1"/>
        <v>0</v>
      </c>
      <c r="AB25" s="171" t="str">
        <f t="shared" ca="1" si="2"/>
        <v>CobaltJiangsu Xiongfeng Technology Co., Ltd.</v>
      </c>
    </row>
    <row r="26" spans="1:28" s="171" customFormat="1" ht="24.7">
      <c r="A26" s="314" t="s">
        <v>12717</v>
      </c>
      <c r="B26" s="150" t="str">
        <f ca="1">IF(LEN(A26)=0,"",INDEX('Smelter Look-up'!$A:$A,MATCH($A26,'Smelter Look-up'!$E:$E,0)))</f>
        <v>Cobalt</v>
      </c>
      <c r="C26" s="153" t="str">
        <f ca="1">IF(LEN(A26)=0,"",INDEX('Smelter Look-up'!$C:$C,MATCH($A26,'Smelter Look-up'!$E:$E,0)))</f>
        <v>Mutanda Mining SPRL</v>
      </c>
      <c r="D26" s="150"/>
      <c r="E26" s="150" t="str">
        <f ca="1">IF(ISERROR($V26),"",OFFSET('Smelter Look-up'!$D$4,$V26-4,0)&amp;"")</f>
        <v>CONGO, DEMOCRATIC REPUBLIC OF THE</v>
      </c>
      <c r="F26" s="150" t="str">
        <f ca="1">IF(ISERROR($V26),"",OFFSET('Smelter Look-up'!$E$4,$V26-4,0))</f>
        <v>CID003301</v>
      </c>
      <c r="G26" s="150" t="str">
        <f ca="1">IF(C26=$X$4,"Enter smelter details",IF(ISERROR($V26),"",OFFSET('Smelter Look-up'!$F$4,$V26-4,0)))</f>
        <v>RMI</v>
      </c>
      <c r="H26" s="206">
        <f ca="1">IF(ISERROR($V26),"",OFFSET('Smelter Look-up'!$G$4,$V26-4,0))</f>
        <v>0</v>
      </c>
      <c r="I26" s="207" t="str">
        <f ca="1">IF(ISERROR($V26),"",OFFSET('Smelter Look-up'!$H$4,$V26-4,0))</f>
        <v>Kolwezi</v>
      </c>
      <c r="J26" s="207" t="str">
        <f ca="1">IF(ISERROR($V26),"",OFFSET('Smelter Look-up'!$I$4,$V26-4,0))</f>
        <v>Lualaba</v>
      </c>
      <c r="K26" s="151"/>
      <c r="L26" s="151"/>
      <c r="M26" s="151"/>
      <c r="N26" s="151"/>
      <c r="O26" s="151"/>
      <c r="P26" s="209"/>
      <c r="Q26" s="152"/>
      <c r="R26" s="150" t="str">
        <f ca="1">IF(ISERROR($V26),"",OFFSET('Smelter Look-up'!$C$4,$V26-4,0)&amp;"")</f>
        <v>Mutanda Mining SPRL</v>
      </c>
      <c r="S26" s="156" t="str">
        <f t="shared" ca="1" si="0"/>
        <v>CD</v>
      </c>
      <c r="T26" s="156" t="str">
        <f ca="1">IF(B26="","",IF(ISERROR(MATCH($J26,SorP!$B$1:$B$6226,0)),"",INDIRECT("'SorP'!$A$"&amp;MATCH($S26&amp;$J26,SorP!C:C,0))))</f>
        <v>CD-LU</v>
      </c>
      <c r="U26" s="169"/>
      <c r="V26" s="170">
        <f ca="1">IF(C26="",NA(),MATCH($B26&amp;$C26,'Smelter Look-up'!$J:$J,0))</f>
        <v>96</v>
      </c>
      <c r="X26" s="171">
        <f t="shared" ca="1" si="1"/>
        <v>0</v>
      </c>
      <c r="AB26" s="171" t="str">
        <f t="shared" ca="1" si="2"/>
        <v>CobaltMutanda Mining SPRL</v>
      </c>
    </row>
    <row r="27" spans="1:28" s="171" customFormat="1" ht="20">
      <c r="A27" s="314" t="s">
        <v>282</v>
      </c>
      <c r="B27" s="150" t="str">
        <f ca="1">IF(LEN(A27)=0,"",INDEX('Smelter Look-up'!$A:$A,MATCH($A27,'Smelter Look-up'!$E:$E,0)))</f>
        <v>Cobalt</v>
      </c>
      <c r="C27" s="153" t="str">
        <f ca="1">IF(LEN(A27)=0,"",INDEX('Smelter Look-up'!$C:$C,MATCH($A27,'Smelter Look-up'!$E:$E,0)))</f>
        <v>SungEel HiTech Co., Ltd.</v>
      </c>
      <c r="D27" s="150"/>
      <c r="E27" s="150" t="str">
        <f ca="1">IF(ISERROR($V27),"",OFFSET('Smelter Look-up'!$D$4,$V27-4,0)&amp;"")</f>
        <v>KOREA, REPUBLIC OF</v>
      </c>
      <c r="F27" s="150" t="str">
        <f ca="1">IF(ISERROR($V27),"",OFFSET('Smelter Look-up'!$E$4,$V27-4,0))</f>
        <v>CID003338</v>
      </c>
      <c r="G27" s="150" t="str">
        <f ca="1">IF(C27=$X$4,"Enter smelter details",IF(ISERROR($V27),"",OFFSET('Smelter Look-up'!$F$4,$V27-4,0)))</f>
        <v>RMI</v>
      </c>
      <c r="H27" s="206">
        <f ca="1">IF(ISERROR($V27),"",OFFSET('Smelter Look-up'!$G$4,$V27-4,0))</f>
        <v>0</v>
      </c>
      <c r="I27" s="207" t="str">
        <f ca="1">IF(ISERROR($V27),"",OFFSET('Smelter Look-up'!$H$4,$V27-4,0))</f>
        <v>Gunsan-si</v>
      </c>
      <c r="J27" s="207" t="str">
        <f ca="1">IF(ISERROR($V27),"",OFFSET('Smelter Look-up'!$I$4,$V27-4,0))</f>
        <v>Jeollabuk-do</v>
      </c>
      <c r="K27" s="151"/>
      <c r="L27" s="151"/>
      <c r="M27" s="151"/>
      <c r="N27" s="151"/>
      <c r="O27" s="151"/>
      <c r="P27" s="209"/>
      <c r="Q27" s="152"/>
      <c r="R27" s="150" t="str">
        <f ca="1">IF(ISERROR($V27),"",OFFSET('Smelter Look-up'!$C$4,$V27-4,0)&amp;"")</f>
        <v>SungEel HiTech Co., Ltd.</v>
      </c>
      <c r="S27" s="156" t="str">
        <f t="shared" ca="1" si="0"/>
        <v>KR</v>
      </c>
      <c r="T27" s="156" t="str">
        <f ca="1">IF(B27="","",IF(ISERROR(MATCH($J27,SorP!$B$1:$B$6226,0)),"",INDIRECT("'SorP'!$A$"&amp;MATCH($S27&amp;$J27,SorP!C:C,0))))</f>
        <v>KR-45</v>
      </c>
      <c r="U27" s="169"/>
      <c r="V27" s="170">
        <f ca="1">IF(C27="",NA(),MATCH($B27&amp;$C27,'Smelter Look-up'!$J:$J,0))</f>
        <v>132</v>
      </c>
      <c r="X27" s="171">
        <f t="shared" ca="1" si="1"/>
        <v>0</v>
      </c>
      <c r="AB27" s="171" t="str">
        <f t="shared" ca="1" si="2"/>
        <v>CobaltSungEel HiTech Co., Ltd.</v>
      </c>
    </row>
    <row r="28" spans="1:28" s="171" customFormat="1" ht="20">
      <c r="A28" s="314" t="s">
        <v>172</v>
      </c>
      <c r="B28" s="150" t="str">
        <f ca="1">IF(LEN(A28)=0,"",INDEX('Smelter Look-up'!$A:$A,MATCH($A28,'Smelter Look-up'!$E:$E,0)))</f>
        <v>Cobalt</v>
      </c>
      <c r="C28" s="153" t="str">
        <f ca="1">IF(LEN(A28)=0,"",INDEX('Smelter Look-up'!$C:$C,MATCH($A28,'Smelter Look-up'!$E:$E,0)))</f>
        <v>Jiangxi Jiangwu Cobalt Industrial Co., Ltd.</v>
      </c>
      <c r="D28" s="150"/>
      <c r="E28" s="150" t="str">
        <f ca="1">IF(ISERROR($V28),"",OFFSET('Smelter Look-up'!$D$4,$V28-4,0)&amp;"")</f>
        <v>CHINA</v>
      </c>
      <c r="F28" s="150" t="str">
        <f ca="1">IF(ISERROR($V28),"",OFFSET('Smelter Look-up'!$E$4,$V28-4,0))</f>
        <v>CID003377</v>
      </c>
      <c r="G28" s="150" t="str">
        <f ca="1">IF(C28=$X$4,"Enter smelter details",IF(ISERROR($V28),"",OFFSET('Smelter Look-up'!$F$4,$V28-4,0)))</f>
        <v>RMI</v>
      </c>
      <c r="H28" s="206">
        <f ca="1">IF(ISERROR($V28),"",OFFSET('Smelter Look-up'!$G$4,$V28-4,0))</f>
        <v>0</v>
      </c>
      <c r="I28" s="207" t="str">
        <f ca="1">IF(ISERROR($V28),"",OFFSET('Smelter Look-up'!$H$4,$V28-4,0))</f>
        <v>Ganzhou</v>
      </c>
      <c r="J28" s="207" t="str">
        <f ca="1">IF(ISERROR($V28),"",OFFSET('Smelter Look-up'!$I$4,$V28-4,0))</f>
        <v>Jiangxi Sheng</v>
      </c>
      <c r="K28" s="151"/>
      <c r="L28" s="151"/>
      <c r="M28" s="151"/>
      <c r="N28" s="151"/>
      <c r="O28" s="151"/>
      <c r="P28" s="209"/>
      <c r="Q28" s="152"/>
      <c r="R28" s="150" t="str">
        <f ca="1">IF(ISERROR($V28),"",OFFSET('Smelter Look-up'!$C$4,$V28-4,0)&amp;"")</f>
        <v>Jiangxi Jiangwu Cobalt Industrial Co., Ltd.</v>
      </c>
      <c r="S28" s="156" t="str">
        <f t="shared" ca="1" si="0"/>
        <v>CN</v>
      </c>
      <c r="T28" s="156" t="str">
        <f ca="1">IF(B28="","",IF(ISERROR(MATCH($J28,SorP!$B$1:$B$6226,0)),"",INDIRECT("'SorP'!$A$"&amp;MATCH($S28&amp;$J28,SorP!C:C,0))))</f>
        <v>CN-JX</v>
      </c>
      <c r="U28" s="169"/>
      <c r="V28" s="170">
        <f ca="1">IF(C28="",NA(),MATCH($B28&amp;$C28,'Smelter Look-up'!$J:$J,0))</f>
        <v>58</v>
      </c>
      <c r="X28" s="171">
        <f t="shared" ca="1" si="1"/>
        <v>0</v>
      </c>
      <c r="AB28" s="171" t="str">
        <f t="shared" ca="1" si="2"/>
        <v>CobaltJiangxi Jiangwu Cobalt Industrial Co., Ltd.</v>
      </c>
    </row>
    <row r="29" spans="1:28" s="171" customFormat="1" ht="20">
      <c r="A29" s="314" t="s">
        <v>175</v>
      </c>
      <c r="B29" s="150" t="str">
        <f ca="1">IF(LEN(A29)=0,"",INDEX('Smelter Look-up'!$A:$A,MATCH($A29,'Smelter Look-up'!$E:$E,0)))</f>
        <v>Cobalt</v>
      </c>
      <c r="C29" s="153" t="str">
        <f ca="1">IF(LEN(A29)=0,"",INDEX('Smelter Look-up'!$C:$C,MATCH($A29,'Smelter Look-up'!$E:$E,0)))</f>
        <v>Jingmen GEM Co., Ltd.</v>
      </c>
      <c r="D29" s="150"/>
      <c r="E29" s="150" t="str">
        <f ca="1">IF(ISERROR($V29),"",OFFSET('Smelter Look-up'!$D$4,$V29-4,0)&amp;"")</f>
        <v>CHINA</v>
      </c>
      <c r="F29" s="150" t="str">
        <f ca="1">IF(ISERROR($V29),"",OFFSET('Smelter Look-up'!$E$4,$V29-4,0))</f>
        <v>CID003378</v>
      </c>
      <c r="G29" s="150" t="str">
        <f ca="1">IF(C29=$X$4,"Enter smelter details",IF(ISERROR($V29),"",OFFSET('Smelter Look-up'!$F$4,$V29-4,0)))</f>
        <v>RMI</v>
      </c>
      <c r="H29" s="206">
        <f ca="1">IF(ISERROR($V29),"",OFFSET('Smelter Look-up'!$G$4,$V29-4,0))</f>
        <v>0</v>
      </c>
      <c r="I29" s="207" t="str">
        <f ca="1">IF(ISERROR($V29),"",OFFSET('Smelter Look-up'!$H$4,$V29-4,0))</f>
        <v>Jingmen</v>
      </c>
      <c r="J29" s="207" t="str">
        <f ca="1">IF(ISERROR($V29),"",OFFSET('Smelter Look-up'!$I$4,$V29-4,0))</f>
        <v>Hubei Sheng</v>
      </c>
      <c r="K29" s="151"/>
      <c r="L29" s="151"/>
      <c r="M29" s="151"/>
      <c r="N29" s="151"/>
      <c r="O29" s="151"/>
      <c r="P29" s="209"/>
      <c r="Q29" s="152"/>
      <c r="R29" s="150" t="str">
        <f ca="1">IF(ISERROR($V29),"",OFFSET('Smelter Look-up'!$C$4,$V29-4,0)&amp;"")</f>
        <v>Jingmen GEM Co., Ltd.</v>
      </c>
      <c r="S29" s="156" t="str">
        <f t="shared" ca="1" si="0"/>
        <v>CN</v>
      </c>
      <c r="T29" s="156" t="str">
        <f ca="1">IF(B29="","",IF(ISERROR(MATCH($J29,SorP!$B$1:$B$6226,0)),"",INDIRECT("'SorP'!$A$"&amp;MATCH($S29&amp;$J29,SorP!C:C,0))))</f>
        <v>CN-HB</v>
      </c>
      <c r="U29" s="169"/>
      <c r="V29" s="170">
        <f ca="1">IF(C29="",NA(),MATCH($B29&amp;$C29,'Smelter Look-up'!$J:$J,0))</f>
        <v>62</v>
      </c>
      <c r="X29" s="171">
        <f t="shared" ca="1" si="1"/>
        <v>0</v>
      </c>
      <c r="AB29" s="171" t="str">
        <f t="shared" ca="1" si="2"/>
        <v>CobaltJingmen GEM Co., Ltd.</v>
      </c>
    </row>
    <row r="30" spans="1:28" s="171" customFormat="1" ht="20">
      <c r="A30" s="314" t="s">
        <v>114</v>
      </c>
      <c r="B30" s="150" t="str">
        <f ca="1">IF(LEN(A30)=0,"",INDEX('Smelter Look-up'!$A:$A,MATCH($A30,'Smelter Look-up'!$E:$E,0)))</f>
        <v>Cobalt</v>
      </c>
      <c r="C30" s="153" t="str">
        <f ca="1">IF(LEN(A30)=0,"",INDEX('Smelter Look-up'!$C:$C,MATCH($A30,'Smelter Look-up'!$E:$E,0)))</f>
        <v>Ganzhou Highpower Technology Co., Ltd.</v>
      </c>
      <c r="D30" s="150"/>
      <c r="E30" s="150" t="str">
        <f ca="1">IF(ISERROR($V30),"",OFFSET('Smelter Look-up'!$D$4,$V30-4,0)&amp;"")</f>
        <v>CHINA</v>
      </c>
      <c r="F30" s="150" t="str">
        <f ca="1">IF(ISERROR($V30),"",OFFSET('Smelter Look-up'!$E$4,$V30-4,0))</f>
        <v>CID003384</v>
      </c>
      <c r="G30" s="150" t="str">
        <f ca="1">IF(C30=$X$4,"Enter smelter details",IF(ISERROR($V30),"",OFFSET('Smelter Look-up'!$F$4,$V30-4,0)))</f>
        <v>RMI</v>
      </c>
      <c r="H30" s="206">
        <f ca="1">IF(ISERROR($V30),"",OFFSET('Smelter Look-up'!$G$4,$V30-4,0))</f>
        <v>0</v>
      </c>
      <c r="I30" s="207" t="str">
        <f ca="1">IF(ISERROR($V30),"",OFFSET('Smelter Look-up'!$H$4,$V30-4,0))</f>
        <v>Ganzhou</v>
      </c>
      <c r="J30" s="207" t="str">
        <f ca="1">IF(ISERROR($V30),"",OFFSET('Smelter Look-up'!$I$4,$V30-4,0))</f>
        <v>Jiangxi Sheng</v>
      </c>
      <c r="K30" s="151"/>
      <c r="L30" s="151"/>
      <c r="M30" s="151"/>
      <c r="N30" s="151"/>
      <c r="O30" s="151"/>
      <c r="P30" s="209"/>
      <c r="Q30" s="152"/>
      <c r="R30" s="150" t="str">
        <f ca="1">IF(ISERROR($V30),"",OFFSET('Smelter Look-up'!$C$4,$V30-4,0)&amp;"")</f>
        <v>Ganzhou Highpower Technology Co., Ltd.</v>
      </c>
      <c r="S30" s="156" t="str">
        <f t="shared" ca="1" si="0"/>
        <v>CN</v>
      </c>
      <c r="T30" s="156" t="str">
        <f ca="1">IF(B30="","",IF(ISERROR(MATCH($J30,SorP!$B$1:$B$6226,0)),"",INDIRECT("'SorP'!$A$"&amp;MATCH($S30&amp;$J30,SorP!C:C,0))))</f>
        <v>CN-JX</v>
      </c>
      <c r="U30" s="169"/>
      <c r="V30" s="170">
        <f ca="1">IF(C30="",NA(),MATCH($B30&amp;$C30,'Smelter Look-up'!$J:$J,0))</f>
        <v>28</v>
      </c>
      <c r="X30" s="171">
        <f t="shared" ca="1" si="1"/>
        <v>0</v>
      </c>
      <c r="AB30" s="171" t="str">
        <f t="shared" ca="1" si="2"/>
        <v>CobaltGanzhou Highpower Technology Co., Ltd.</v>
      </c>
    </row>
    <row r="31" spans="1:28" s="171" customFormat="1" ht="20">
      <c r="A31" s="314" t="s">
        <v>259</v>
      </c>
      <c r="B31" s="150" t="str">
        <f ca="1">IF(LEN(A31)=0,"",INDEX('Smelter Look-up'!$A:$A,MATCH($A31,'Smelter Look-up'!$E:$E,0)))</f>
        <v>Cobalt</v>
      </c>
      <c r="C31" s="153" t="str">
        <f ca="1">IF(LEN(A31)=0,"",INDEX('Smelter Look-up'!$C:$C,MATCH($A31,'Smelter Look-up'!$E:$E,0)))</f>
        <v>NORILSK NICKEL HARJAVALTA OY</v>
      </c>
      <c r="D31" s="150"/>
      <c r="E31" s="150" t="str">
        <f ca="1">IF(ISERROR($V31),"",OFFSET('Smelter Look-up'!$D$4,$V31-4,0)&amp;"")</f>
        <v>FINLAND</v>
      </c>
      <c r="F31" s="150" t="str">
        <f ca="1">IF(ISERROR($V31),"",OFFSET('Smelter Look-up'!$E$4,$V31-4,0))</f>
        <v>CID003390</v>
      </c>
      <c r="G31" s="150" t="str">
        <f ca="1">IF(C31=$X$4,"Enter smelter details",IF(ISERROR($V31),"",OFFSET('Smelter Look-up'!$F$4,$V31-4,0)))</f>
        <v>RMI</v>
      </c>
      <c r="H31" s="206">
        <f ca="1">IF(ISERROR($V31),"",OFFSET('Smelter Look-up'!$G$4,$V31-4,0))</f>
        <v>0</v>
      </c>
      <c r="I31" s="207" t="str">
        <f ca="1">IF(ISERROR($V31),"",OFFSET('Smelter Look-up'!$H$4,$V31-4,0))</f>
        <v>Harvjavalta</v>
      </c>
      <c r="J31" s="207" t="str">
        <f ca="1">IF(ISERROR($V31),"",OFFSET('Smelter Look-up'!$I$4,$V31-4,0))</f>
        <v>Satakunta</v>
      </c>
      <c r="K31" s="151"/>
      <c r="L31" s="151"/>
      <c r="M31" s="151"/>
      <c r="N31" s="151"/>
      <c r="O31" s="151"/>
      <c r="P31" s="209"/>
      <c r="Q31" s="152"/>
      <c r="R31" s="150" t="str">
        <f ca="1">IF(ISERROR($V31),"",OFFSET('Smelter Look-up'!$C$4,$V31-4,0)&amp;"")</f>
        <v>NORILSK NICKEL HARJAVALTA OY</v>
      </c>
      <c r="S31" s="156" t="str">
        <f t="shared" ca="1" si="0"/>
        <v>FI</v>
      </c>
      <c r="T31" s="156" t="str">
        <f ca="1">IF(B31="","",IF(ISERROR(MATCH($J31,SorP!$B$1:$B$6226,0)),"",INDIRECT("'SorP'!$A$"&amp;MATCH($S31&amp;$J31,SorP!C:C,0))))</f>
        <v>FI-17</v>
      </c>
      <c r="U31" s="169"/>
      <c r="V31" s="170">
        <f ca="1">IF(C31="",NA(),MATCH($B31&amp;$C31,'Smelter Look-up'!$J:$J,0))</f>
        <v>111</v>
      </c>
      <c r="X31" s="171">
        <f t="shared" ca="1" si="1"/>
        <v>0</v>
      </c>
      <c r="AB31" s="171" t="str">
        <f t="shared" ca="1" si="2"/>
        <v>CobaltNORILSK NICKEL HARJAVALTA OY</v>
      </c>
    </row>
    <row r="32" spans="1:28" s="171" customFormat="1" ht="24.7">
      <c r="A32" s="314" t="s">
        <v>246</v>
      </c>
      <c r="B32" s="150" t="str">
        <f ca="1">IF(LEN(A32)=0,"",INDEX('Smelter Look-up'!$A:$A,MATCH($A32,'Smelter Look-up'!$E:$E,0)))</f>
        <v>Cobalt</v>
      </c>
      <c r="C32" s="153" t="str">
        <f ca="1">IF(LEN(A32)=0,"",INDEX('Smelter Look-up'!$C:$C,MATCH($A32,'Smelter Look-up'!$E:$E,0)))</f>
        <v>Zhejiang New Era Zhongneng Technology Co., Ltd.</v>
      </c>
      <c r="D32" s="150"/>
      <c r="E32" s="150" t="str">
        <f ca="1">IF(ISERROR($V32),"",OFFSET('Smelter Look-up'!$D$4,$V32-4,0)&amp;"")</f>
        <v>CHINA</v>
      </c>
      <c r="F32" s="150" t="str">
        <f ca="1">IF(ISERROR($V32),"",OFFSET('Smelter Look-up'!$E$4,$V32-4,0))</f>
        <v>CID003398</v>
      </c>
      <c r="G32" s="150" t="str">
        <f ca="1">IF(C32=$X$4,"Enter smelter details",IF(ISERROR($V32),"",OFFSET('Smelter Look-up'!$F$4,$V32-4,0)))</f>
        <v>RMI</v>
      </c>
      <c r="H32" s="206">
        <f ca="1">IF(ISERROR($V32),"",OFFSET('Smelter Look-up'!$G$4,$V32-4,0))</f>
        <v>0</v>
      </c>
      <c r="I32" s="207" t="str">
        <f ca="1">IF(ISERROR($V32),"",OFFSET('Smelter Look-up'!$H$4,$V32-4,0))</f>
        <v>Shaoxing</v>
      </c>
      <c r="J32" s="207" t="str">
        <f ca="1">IF(ISERROR($V32),"",OFFSET('Smelter Look-up'!$I$4,$V32-4,0))</f>
        <v>Zhejiang Sheng</v>
      </c>
      <c r="K32" s="151"/>
      <c r="L32" s="151"/>
      <c r="M32" s="151"/>
      <c r="N32" s="151"/>
      <c r="O32" s="151"/>
      <c r="P32" s="209"/>
      <c r="Q32" s="152"/>
      <c r="R32" s="150" t="str">
        <f ca="1">IF(ISERROR($V32),"",OFFSET('Smelter Look-up'!$C$4,$V32-4,0)&amp;"")</f>
        <v>Zhejiang New Era Zhongneng Technology Co., Ltd.</v>
      </c>
      <c r="S32" s="156" t="str">
        <f t="shared" ca="1" si="0"/>
        <v>CN</v>
      </c>
      <c r="T32" s="156" t="str">
        <f ca="1">IF(B32="","",IF(ISERROR(MATCH($J32,SorP!$B$1:$B$6226,0)),"",INDIRECT("'SorP'!$A$"&amp;MATCH($S32&amp;$J32,SorP!C:C,0))))</f>
        <v>CN-ZJ</v>
      </c>
      <c r="U32" s="169"/>
      <c r="V32" s="170">
        <f ca="1">IF(C32="",NA(),MATCH($B32&amp;$C32,'Smelter Look-up'!$J:$J,0))</f>
        <v>152</v>
      </c>
      <c r="X32" s="171">
        <f t="shared" ca="1" si="1"/>
        <v>0</v>
      </c>
      <c r="AB32" s="171" t="str">
        <f t="shared" ca="1" si="2"/>
        <v>CobaltZhejiang New Era Zhongneng Technology Co., Ltd.</v>
      </c>
    </row>
    <row r="33" spans="1:28" s="171" customFormat="1" ht="20">
      <c r="A33" s="314" t="s">
        <v>159</v>
      </c>
      <c r="B33" s="150" t="str">
        <f ca="1">IF(LEN(A33)=0,"",INDEX('Smelter Look-up'!$A:$A,MATCH($A33,'Smelter Look-up'!$E:$E,0)))</f>
        <v>Cobalt</v>
      </c>
      <c r="C33" s="153" t="str">
        <f ca="1">IF(LEN(A33)=0,"",INDEX('Smelter Look-up'!$C:$C,MATCH($A33,'Smelter Look-up'!$E:$E,0)))</f>
        <v>Hunan Yacheng New Materials Co., Ltd.</v>
      </c>
      <c r="D33" s="150"/>
      <c r="E33" s="150" t="str">
        <f ca="1">IF(ISERROR($V33),"",OFFSET('Smelter Look-up'!$D$4,$V33-4,0)&amp;"")</f>
        <v>CHINA</v>
      </c>
      <c r="F33" s="150" t="str">
        <f ca="1">IF(ISERROR($V33),"",OFFSET('Smelter Look-up'!$E$4,$V33-4,0))</f>
        <v>CID003404</v>
      </c>
      <c r="G33" s="150" t="str">
        <f ca="1">IF(C33=$X$4,"Enter smelter details",IF(ISERROR($V33),"",OFFSET('Smelter Look-up'!$F$4,$V33-4,0)))</f>
        <v>RMI</v>
      </c>
      <c r="H33" s="206">
        <f ca="1">IF(ISERROR($V33),"",OFFSET('Smelter Look-up'!$G$4,$V33-4,0))</f>
        <v>0</v>
      </c>
      <c r="I33" s="207" t="str">
        <f ca="1">IF(ISERROR($V33),"",OFFSET('Smelter Look-up'!$H$4,$V33-4,0))</f>
        <v>Changsha</v>
      </c>
      <c r="J33" s="207" t="str">
        <f ca="1">IF(ISERROR($V33),"",OFFSET('Smelter Look-up'!$I$4,$V33-4,0))</f>
        <v>Hunan Sheng</v>
      </c>
      <c r="K33" s="151"/>
      <c r="L33" s="151"/>
      <c r="M33" s="151"/>
      <c r="N33" s="151"/>
      <c r="O33" s="151"/>
      <c r="P33" s="209"/>
      <c r="Q33" s="152"/>
      <c r="R33" s="150" t="str">
        <f ca="1">IF(ISERROR($V33),"",OFFSET('Smelter Look-up'!$C$4,$V33-4,0)&amp;"")</f>
        <v>Hunan Yacheng New Materials Co., Ltd.</v>
      </c>
      <c r="S33" s="156" t="str">
        <f t="shared" ca="1" si="0"/>
        <v>CN</v>
      </c>
      <c r="T33" s="156" t="str">
        <f ca="1">IF(B33="","",IF(ISERROR(MATCH($J33,SorP!$B$1:$B$6226,0)),"",INDIRECT("'SorP'!$A$"&amp;MATCH($S33&amp;$J33,SorP!C:C,0))))</f>
        <v>CN-HN</v>
      </c>
      <c r="U33" s="169"/>
      <c r="V33" s="170">
        <f ca="1">IF(C33="",NA(),MATCH($B33&amp;$C33,'Smelter Look-up'!$J:$J,0))</f>
        <v>47</v>
      </c>
      <c r="X33" s="171">
        <f t="shared" ca="1" si="1"/>
        <v>0</v>
      </c>
      <c r="AB33" s="171" t="str">
        <f t="shared" ca="1" si="2"/>
        <v>CobaltHunan Yacheng New Materials Co., Ltd.</v>
      </c>
    </row>
    <row r="34" spans="1:28" s="171" customFormat="1" ht="20">
      <c r="A34" s="314" t="s">
        <v>226</v>
      </c>
      <c r="B34" s="150" t="str">
        <f ca="1">IF(LEN(A34)=0,"",INDEX('Smelter Look-up'!$A:$A,MATCH($A34,'Smelter Look-up'!$E:$E,0)))</f>
        <v>Cobalt</v>
      </c>
      <c r="C34" s="153" t="str">
        <f ca="1">IF(LEN(A34)=0,"",INDEX('Smelter Look-up'!$C:$C,MATCH($A34,'Smelter Look-up'!$E:$E,0)))</f>
        <v>Murrin Murrin Nickel Cobalt Plant</v>
      </c>
      <c r="D34" s="150"/>
      <c r="E34" s="150" t="str">
        <f ca="1">IF(ISERROR($V34),"",OFFSET('Smelter Look-up'!$D$4,$V34-4,0)&amp;"")</f>
        <v>AUSTRALIA</v>
      </c>
      <c r="F34" s="150" t="str">
        <f ca="1">IF(ISERROR($V34),"",OFFSET('Smelter Look-up'!$E$4,$V34-4,0))</f>
        <v>CID003406</v>
      </c>
      <c r="G34" s="150" t="str">
        <f ca="1">IF(C34=$X$4,"Enter smelter details",IF(ISERROR($V34),"",OFFSET('Smelter Look-up'!$F$4,$V34-4,0)))</f>
        <v>RMI</v>
      </c>
      <c r="H34" s="206">
        <f ca="1">IF(ISERROR($V34),"",OFFSET('Smelter Look-up'!$G$4,$V34-4,0))</f>
        <v>0</v>
      </c>
      <c r="I34" s="207" t="str">
        <f ca="1">IF(ISERROR($V34),"",OFFSET('Smelter Look-up'!$H$4,$V34-4,0))</f>
        <v>Laverton</v>
      </c>
      <c r="J34" s="207" t="str">
        <f ca="1">IF(ISERROR($V34),"",OFFSET('Smelter Look-up'!$I$4,$V34-4,0))</f>
        <v>Western Australia</v>
      </c>
      <c r="K34" s="151"/>
      <c r="L34" s="151"/>
      <c r="M34" s="151"/>
      <c r="N34" s="151"/>
      <c r="O34" s="151"/>
      <c r="P34" s="209"/>
      <c r="Q34" s="152"/>
      <c r="R34" s="150" t="str">
        <f ca="1">IF(ISERROR($V34),"",OFFSET('Smelter Look-up'!$C$4,$V34-4,0)&amp;"")</f>
        <v>Murrin Murrin Nickel Cobalt Plant</v>
      </c>
      <c r="S34" s="156" t="str">
        <f t="shared" ca="1" si="0"/>
        <v>AU</v>
      </c>
      <c r="T34" s="156" t="str">
        <f ca="1">IF(B34="","",IF(ISERROR(MATCH($J34,SorP!$B$1:$B$6226,0)),"",INDIRECT("'SorP'!$A$"&amp;MATCH($S34&amp;$J34,SorP!C:C,0))))</f>
        <v>AU-WA</v>
      </c>
      <c r="U34" s="169"/>
      <c r="V34" s="170">
        <f ca="1">IF(C34="",NA(),MATCH($B34&amp;$C34,'Smelter Look-up'!$J:$J,0))</f>
        <v>94</v>
      </c>
      <c r="X34" s="171">
        <f t="shared" ca="1" si="1"/>
        <v>0</v>
      </c>
      <c r="AB34" s="171" t="str">
        <f t="shared" ca="1" si="2"/>
        <v>CobaltMurrin Murrin Nickel Cobalt Plant</v>
      </c>
    </row>
    <row r="35" spans="1:28" s="171" customFormat="1" ht="24.7">
      <c r="A35" s="314" t="s">
        <v>151</v>
      </c>
      <c r="B35" s="150" t="str">
        <f ca="1">IF(LEN(A35)=0,"",INDEX('Smelter Look-up'!$A:$A,MATCH($A35,'Smelter Look-up'!$E:$E,0)))</f>
        <v>Cobalt</v>
      </c>
      <c r="C35" s="153" t="str">
        <f ca="1">IF(LEN(A35)=0,"",INDEX('Smelter Look-up'!$C:$C,MATCH($A35,'Smelter Look-up'!$E:$E,0)))</f>
        <v>Hunan CNGR New Energy Science &amp; Technology Co., Ltd.</v>
      </c>
      <c r="D35" s="150"/>
      <c r="E35" s="150" t="str">
        <f ca="1">IF(ISERROR($V35),"",OFFSET('Smelter Look-up'!$D$4,$V35-4,0)&amp;"")</f>
        <v>CHINA</v>
      </c>
      <c r="F35" s="150" t="str">
        <f ca="1">IF(ISERROR($V35),"",OFFSET('Smelter Look-up'!$E$4,$V35-4,0))</f>
        <v>CID003411</v>
      </c>
      <c r="G35" s="150" t="str">
        <f ca="1">IF(C35=$X$4,"Enter smelter details",IF(ISERROR($V35),"",OFFSET('Smelter Look-up'!$F$4,$V35-4,0)))</f>
        <v>RMI</v>
      </c>
      <c r="H35" s="206">
        <f ca="1">IF(ISERROR($V35),"",OFFSET('Smelter Look-up'!$G$4,$V35-4,0))</f>
        <v>0</v>
      </c>
      <c r="I35" s="207" t="str">
        <f ca="1">IF(ISERROR($V35),"",OFFSET('Smelter Look-up'!$H$4,$V35-4,0))</f>
        <v>Changsha</v>
      </c>
      <c r="J35" s="207" t="str">
        <f ca="1">IF(ISERROR($V35),"",OFFSET('Smelter Look-up'!$I$4,$V35-4,0))</f>
        <v>Hunan Sheng</v>
      </c>
      <c r="K35" s="151"/>
      <c r="L35" s="151"/>
      <c r="M35" s="151"/>
      <c r="N35" s="151"/>
      <c r="O35" s="151"/>
      <c r="P35" s="209"/>
      <c r="Q35" s="152"/>
      <c r="R35" s="150" t="str">
        <f ca="1">IF(ISERROR($V35),"",OFFSET('Smelter Look-up'!$C$4,$V35-4,0)&amp;"")</f>
        <v>Hunan CNGR New Energy Science &amp; Technology Co., Ltd.</v>
      </c>
      <c r="S35" s="156" t="str">
        <f t="shared" ca="1" si="0"/>
        <v>CN</v>
      </c>
      <c r="T35" s="156" t="str">
        <f ca="1">IF(B35="","",IF(ISERROR(MATCH($J35,SorP!$B$1:$B$6226,0)),"",INDIRECT("'SorP'!$A$"&amp;MATCH($S35&amp;$J35,SorP!C:C,0))))</f>
        <v>CN-HN</v>
      </c>
      <c r="U35" s="169"/>
      <c r="V35" s="170">
        <f ca="1">IF(C35="",NA(),MATCH($B35&amp;$C35,'Smelter Look-up'!$J:$J,0))</f>
        <v>42</v>
      </c>
      <c r="X35" s="171">
        <f t="shared" ca="1" si="1"/>
        <v>0</v>
      </c>
      <c r="AB35" s="171" t="str">
        <f t="shared" ca="1" si="2"/>
        <v>CobaltHunan CNGR New Energy Science &amp; Technology Co., Ltd.</v>
      </c>
    </row>
    <row r="36" spans="1:28" s="171" customFormat="1" ht="20">
      <c r="A36" s="314" t="s">
        <v>88</v>
      </c>
      <c r="B36" s="150" t="str">
        <f ca="1">IF(LEN(A36)=0,"",INDEX('Smelter Look-up'!$A:$A,MATCH($A36,'Smelter Look-up'!$E:$E,0)))</f>
        <v>Cobalt</v>
      </c>
      <c r="C36" s="153" t="str">
        <f ca="1">IF(LEN(A36)=0,"",INDEX('Smelter Look-up'!$C:$C,MATCH($A36,'Smelter Look-up'!$E:$E,0)))</f>
        <v>Cosmo Chemical, Ltd.</v>
      </c>
      <c r="D36" s="150"/>
      <c r="E36" s="150" t="str">
        <f ca="1">IF(ISERROR($V36),"",OFFSET('Smelter Look-up'!$D$4,$V36-4,0)&amp;"")</f>
        <v>KOREA, REPUBLIC OF</v>
      </c>
      <c r="F36" s="150" t="str">
        <f ca="1">IF(ISERROR($V36),"",OFFSET('Smelter Look-up'!$E$4,$V36-4,0))</f>
        <v>CID003415</v>
      </c>
      <c r="G36" s="150" t="str">
        <f ca="1">IF(C36=$X$4,"Enter smelter details",IF(ISERROR($V36),"",OFFSET('Smelter Look-up'!$F$4,$V36-4,0)))</f>
        <v>RMI</v>
      </c>
      <c r="H36" s="206">
        <f ca="1">IF(ISERROR($V36),"",OFFSET('Smelter Look-up'!$G$4,$V36-4,0))</f>
        <v>0</v>
      </c>
      <c r="I36" s="207" t="str">
        <f ca="1">IF(ISERROR($V36),"",OFFSET('Smelter Look-up'!$H$4,$V36-4,0))</f>
        <v>Ulsan</v>
      </c>
      <c r="J36" s="207" t="str">
        <f ca="1">IF(ISERROR($V36),"",OFFSET('Smelter Look-up'!$I$4,$V36-4,0))</f>
        <v>Gyeongsangnam-do</v>
      </c>
      <c r="K36" s="151"/>
      <c r="L36" s="151"/>
      <c r="M36" s="151"/>
      <c r="N36" s="151"/>
      <c r="O36" s="151"/>
      <c r="P36" s="209"/>
      <c r="Q36" s="152"/>
      <c r="R36" s="150" t="str">
        <f ca="1">IF(ISERROR($V36),"",OFFSET('Smelter Look-up'!$C$4,$V36-4,0)&amp;"")</f>
        <v>Cosmo Chemical, Ltd.</v>
      </c>
      <c r="S36" s="156" t="str">
        <f t="shared" ca="1" si="0"/>
        <v>KR</v>
      </c>
      <c r="T36" s="156" t="str">
        <f ca="1">IF(B36="","",IF(ISERROR(MATCH($J36,SorP!$B$1:$B$6226,0)),"",INDIRECT("'SorP'!$A$"&amp;MATCH($S36&amp;$J36,SorP!C:C,0))))</f>
        <v>KR-48</v>
      </c>
      <c r="U36" s="169"/>
      <c r="V36" s="170">
        <f ca="1">IF(C36="",NA(),MATCH($B36&amp;$C36,'Smelter Look-up'!$J:$J,0))</f>
        <v>14</v>
      </c>
      <c r="X36" s="171">
        <f t="shared" ca="1" si="1"/>
        <v>0</v>
      </c>
      <c r="AB36" s="171" t="str">
        <f t="shared" ca="1" si="2"/>
        <v>CobaltCosmo Chemical, Ltd.</v>
      </c>
    </row>
    <row r="37" spans="1:28" s="171" customFormat="1" ht="20">
      <c r="A37" s="314" t="s">
        <v>19213</v>
      </c>
      <c r="B37" s="150" t="e">
        <f ca="1">IF(LEN(A37)=0,"",INDEX('Smelter Look-up'!$A:$A,MATCH($A37,'Smelter Look-up'!$E:$E,0)))</f>
        <v>#N/A</v>
      </c>
      <c r="C37" s="153" t="e">
        <f ca="1">IF(LEN(A37)=0,"",INDEX('Smelter Look-up'!$C:$C,MATCH($A37,'Smelter Look-up'!$E:$E,0)))</f>
        <v>#N/A</v>
      </c>
      <c r="D37" s="150"/>
      <c r="E37" s="150" t="str">
        <f ca="1">IF(ISERROR($V37),"",OFFSET('Smelter Look-up'!$D$4,$V37-4,0)&amp;"")</f>
        <v/>
      </c>
      <c r="F37" s="150" t="str">
        <f ca="1">IF(ISERROR($V37),"",OFFSET('Smelter Look-up'!$E$4,$V37-4,0))</f>
        <v/>
      </c>
      <c r="G37" s="150" t="e">
        <f ca="1">IF(C37=$X$4,"Enter smelter details",IF(ISERROR($V37),"",OFFSET('Smelter Look-up'!$F$4,$V37-4,0)))</f>
        <v>#N/A</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e">
        <f t="shared" ca="1" si="0"/>
        <v>#N/A</v>
      </c>
      <c r="T37" s="156" t="e">
        <f ca="1">IF(B37="","",IF(ISERROR(MATCH($J37,SorP!$B$1:$B$6226,0)),"",INDIRECT("'SorP'!$A$"&amp;MATCH($S37&amp;$J37,SorP!C:C,0))))</f>
        <v>#N/A</v>
      </c>
      <c r="U37" s="169"/>
      <c r="V37" s="170" t="e">
        <f ca="1">IF(C37="",NA(),MATCH($B37&amp;$C37,'Smelter Look-up'!$J:$J,0))</f>
        <v>#N/A</v>
      </c>
      <c r="X37" s="171" t="e">
        <f t="shared" ca="1" si="1"/>
        <v>#N/A</v>
      </c>
      <c r="AB37" s="171" t="e">
        <f t="shared" ca="1" si="2"/>
        <v>#N/A</v>
      </c>
    </row>
    <row r="38" spans="1:28" s="171" customFormat="1" ht="24.7">
      <c r="A38" s="314" t="s">
        <v>287</v>
      </c>
      <c r="B38" s="150" t="str">
        <f ca="1">IF(LEN(A38)=0,"",INDEX('Smelter Look-up'!$A:$A,MATCH($A38,'Smelter Look-up'!$E:$E,0)))</f>
        <v>Cobalt</v>
      </c>
      <c r="C38" s="153" t="str">
        <f ca="1">IF(LEN(A38)=0,"",INDEX('Smelter Look-up'!$C:$C,MATCH($A38,'Smelter Look-up'!$E:$E,0)))</f>
        <v>Tenke Fungurume Mining SA</v>
      </c>
      <c r="D38" s="150"/>
      <c r="E38" s="150" t="str">
        <f ca="1">IF(ISERROR($V38),"",OFFSET('Smelter Look-up'!$D$4,$V38-4,0)&amp;"")</f>
        <v>CONGO, DEMOCRATIC REPUBLIC OF THE</v>
      </c>
      <c r="F38" s="150" t="str">
        <f ca="1">IF(ISERROR($V38),"",OFFSET('Smelter Look-up'!$E$4,$V38-4,0))</f>
        <v>CID003429</v>
      </c>
      <c r="G38" s="150">
        <f ca="1">IF(C38=$X$4,"Enter smelter details",IF(ISERROR($V38),"",OFFSET('Smelter Look-up'!$F$4,$V38-4,0)))</f>
        <v>0</v>
      </c>
      <c r="H38" s="206">
        <f ca="1">IF(ISERROR($V38),"",OFFSET('Smelter Look-up'!$G$4,$V38-4,0))</f>
        <v>0</v>
      </c>
      <c r="I38" s="207" t="str">
        <f ca="1">IF(ISERROR($V38),"",OFFSET('Smelter Look-up'!$H$4,$V38-4,0))</f>
        <v>Kolwezi</v>
      </c>
      <c r="J38" s="207" t="str">
        <f ca="1">IF(ISERROR($V38),"",OFFSET('Smelter Look-up'!$I$4,$V38-4,0))</f>
        <v>Lualaba</v>
      </c>
      <c r="K38" s="151"/>
      <c r="L38" s="151"/>
      <c r="M38" s="151"/>
      <c r="N38" s="151"/>
      <c r="O38" s="151"/>
      <c r="P38" s="209"/>
      <c r="Q38" s="152"/>
      <c r="R38" s="150" t="str">
        <f ca="1">IF(ISERROR($V38),"",OFFSET('Smelter Look-up'!$C$4,$V38-4,0)&amp;"")</f>
        <v>Tenke Fungurume Mining SA</v>
      </c>
      <c r="S38" s="156" t="str">
        <f t="shared" ca="1" si="0"/>
        <v>CD</v>
      </c>
      <c r="T38" s="156" t="str">
        <f ca="1">IF(B38="","",IF(ISERROR(MATCH($J38,SorP!$B$1:$B$6226,0)),"",INDIRECT("'SorP'!$A$"&amp;MATCH($S38&amp;$J38,SorP!C:C,0))))</f>
        <v>CD-LU</v>
      </c>
      <c r="U38" s="169"/>
      <c r="V38" s="170">
        <f ca="1">IF(C38="",NA(),MATCH($B38&amp;$C38,'Smelter Look-up'!$J:$J,0))</f>
        <v>135</v>
      </c>
      <c r="X38" s="171">
        <f t="shared" ca="1" si="1"/>
        <v>0</v>
      </c>
      <c r="AB38" s="171" t="str">
        <f t="shared" ca="1" si="2"/>
        <v>CobaltTenke Fungurume Mining SA</v>
      </c>
    </row>
    <row r="39" spans="1:28" s="171" customFormat="1" ht="24.7">
      <c r="A39" s="314" t="s">
        <v>12544</v>
      </c>
      <c r="B39" s="150" t="str">
        <f ca="1">IF(LEN(A39)=0,"",INDEX('Smelter Look-up'!$A:$A,MATCH($A39,'Smelter Look-up'!$E:$E,0)))</f>
        <v>Cobalt</v>
      </c>
      <c r="C39" s="153" t="str">
        <f ca="1">IF(LEN(A39)=0,"",INDEX('Smelter Look-up'!$C:$C,MATCH($A39,'Smelter Look-up'!$E:$E,0)))</f>
        <v>STE CONGO DONGFANG INTERNATIONAL MINING SAS</v>
      </c>
      <c r="D39" s="150"/>
      <c r="E39" s="150" t="str">
        <f ca="1">IF(ISERROR($V39),"",OFFSET('Smelter Look-up'!$D$4,$V39-4,0)&amp;"")</f>
        <v>CONGO, DEMOCRATIC REPUBLIC OF THE</v>
      </c>
      <c r="F39" s="150" t="str">
        <f ca="1">IF(ISERROR($V39),"",OFFSET('Smelter Look-up'!$E$4,$V39-4,0))</f>
        <v>CID003430</v>
      </c>
      <c r="G39" s="150" t="str">
        <f ca="1">IF(C39=$X$4,"Enter smelter details",IF(ISERROR($V39),"",OFFSET('Smelter Look-up'!$F$4,$V39-4,0)))</f>
        <v>RMI</v>
      </c>
      <c r="H39" s="206">
        <f ca="1">IF(ISERROR($V39),"",OFFSET('Smelter Look-up'!$G$4,$V39-4,0))</f>
        <v>0</v>
      </c>
      <c r="I39" s="207" t="str">
        <f ca="1">IF(ISERROR($V39),"",OFFSET('Smelter Look-up'!$H$4,$V39-4,0))</f>
        <v>Lubumbashi</v>
      </c>
      <c r="J39" s="207" t="str">
        <f ca="1">IF(ISERROR($V39),"",OFFSET('Smelter Look-up'!$I$4,$V39-4,0))</f>
        <v>Haut-Katanga</v>
      </c>
      <c r="K39" s="151"/>
      <c r="L39" s="151"/>
      <c r="M39" s="151"/>
      <c r="N39" s="151"/>
      <c r="O39" s="151"/>
      <c r="P39" s="209"/>
      <c r="Q39" s="152"/>
      <c r="R39" s="150" t="str">
        <f ca="1">IF(ISERROR($V39),"",OFFSET('Smelter Look-up'!$C$4,$V39-4,0)&amp;"")</f>
        <v>STE CONGO DONGFANG INTERNATIONAL MINING SAS</v>
      </c>
      <c r="S39" s="156" t="str">
        <f t="shared" ca="1" si="0"/>
        <v>CD</v>
      </c>
      <c r="T39" s="156" t="str">
        <f ca="1">IF(B39="","",IF(ISERROR(MATCH($J39,SorP!$B$1:$B$6226,0)),"",INDIRECT("'SorP'!$A$"&amp;MATCH($S39&amp;$J39,SorP!C:C,0))))</f>
        <v>CD-HK</v>
      </c>
      <c r="U39" s="169"/>
      <c r="V39" s="170">
        <f ca="1">IF(C39="",NA(),MATCH($B39&amp;$C39,'Smelter Look-up'!$J:$J,0))</f>
        <v>129</v>
      </c>
      <c r="X39" s="171">
        <f t="shared" ca="1" si="1"/>
        <v>0</v>
      </c>
      <c r="AB39" s="171" t="str">
        <f t="shared" ca="1" si="2"/>
        <v>CobaltSTE CONGO DONGFANG INTERNATIONAL MINING SAS</v>
      </c>
    </row>
    <row r="40" spans="1:28" s="171" customFormat="1" ht="20">
      <c r="A40" s="314" t="s">
        <v>254</v>
      </c>
      <c r="B40" s="150" t="str">
        <f ca="1">IF(LEN(A40)=0,"",INDEX('Smelter Look-up'!$A:$A,MATCH($A40,'Smelter Look-up'!$E:$E,0)))</f>
        <v>Cobalt</v>
      </c>
      <c r="C40" s="153" t="str">
        <f ca="1">IF(LEN(A40)=0,"",INDEX('Smelter Look-up'!$C:$C,MATCH($A40,'Smelter Look-up'!$E:$E,0)))</f>
        <v>Ningbo Hubang New Material Co., Ltd.</v>
      </c>
      <c r="D40" s="150"/>
      <c r="E40" s="150" t="str">
        <f ca="1">IF(ISERROR($V40),"",OFFSET('Smelter Look-up'!$D$4,$V40-4,0)&amp;"")</f>
        <v>CHINA</v>
      </c>
      <c r="F40" s="150" t="str">
        <f ca="1">IF(ISERROR($V40),"",OFFSET('Smelter Look-up'!$E$4,$V40-4,0))</f>
        <v>CID003465</v>
      </c>
      <c r="G40" s="150" t="str">
        <f ca="1">IF(C40=$X$4,"Enter smelter details",IF(ISERROR($V40),"",OFFSET('Smelter Look-up'!$F$4,$V40-4,0)))</f>
        <v>RMI</v>
      </c>
      <c r="H40" s="206">
        <f ca="1">IF(ISERROR($V40),"",OFFSET('Smelter Look-up'!$G$4,$V40-4,0))</f>
        <v>0</v>
      </c>
      <c r="I40" s="207" t="str">
        <f ca="1">IF(ISERROR($V40),"",OFFSET('Smelter Look-up'!$H$4,$V40-4,0))</f>
        <v>Ningbo</v>
      </c>
      <c r="J40" s="207" t="str">
        <f ca="1">IF(ISERROR($V40),"",OFFSET('Smelter Look-up'!$I$4,$V40-4,0))</f>
        <v>Zhejiang Sheng</v>
      </c>
      <c r="K40" s="151"/>
      <c r="L40" s="151"/>
      <c r="M40" s="151"/>
      <c r="N40" s="151"/>
      <c r="O40" s="151"/>
      <c r="P40" s="209"/>
      <c r="Q40" s="152"/>
      <c r="R40" s="150" t="str">
        <f ca="1">IF(ISERROR($V40),"",OFFSET('Smelter Look-up'!$C$4,$V40-4,0)&amp;"")</f>
        <v>Ningbo Hubang New Material Co., Ltd.</v>
      </c>
      <c r="S40" s="156" t="str">
        <f t="shared" ca="1" si="0"/>
        <v>CN</v>
      </c>
      <c r="T40" s="156" t="str">
        <f ca="1">IF(B40="","",IF(ISERROR(MATCH($J40,SorP!$B$1:$B$6226,0)),"",INDIRECT("'SorP'!$A$"&amp;MATCH($S40&amp;$J40,SorP!C:C,0))))</f>
        <v>CN-ZJ</v>
      </c>
      <c r="U40" s="169"/>
      <c r="V40" s="170">
        <f ca="1">IF(C40="",NA(),MATCH($B40&amp;$C40,'Smelter Look-up'!$J:$J,0))</f>
        <v>109</v>
      </c>
      <c r="X40" s="171">
        <f t="shared" ca="1" si="1"/>
        <v>0</v>
      </c>
      <c r="AB40" s="171" t="str">
        <f t="shared" ca="1" si="2"/>
        <v>CobaltNingbo Hubang New Material Co., Ltd.</v>
      </c>
    </row>
    <row r="41" spans="1:28" s="171" customFormat="1" ht="20">
      <c r="A41" s="314" t="s">
        <v>19214</v>
      </c>
      <c r="B41" s="150" t="e">
        <f ca="1">IF(LEN(A41)=0,"",INDEX('Smelter Look-up'!$A:$A,MATCH($A41,'Smelter Look-up'!$E:$E,0)))</f>
        <v>#N/A</v>
      </c>
      <c r="C41" s="153" t="e">
        <f ca="1">IF(LEN(A41)=0,"",INDEX('Smelter Look-up'!$C:$C,MATCH($A41,'Smelter Look-up'!$E:$E,0)))</f>
        <v>#N/A</v>
      </c>
      <c r="D41" s="150"/>
      <c r="E41" s="150" t="str">
        <f ca="1">IF(ISERROR($V41),"",OFFSET('Smelter Look-up'!$D$4,$V41-4,0)&amp;"")</f>
        <v/>
      </c>
      <c r="F41" s="150" t="str">
        <f ca="1">IF(ISERROR($V41),"",OFFSET('Smelter Look-up'!$E$4,$V41-4,0))</f>
        <v/>
      </c>
      <c r="G41" s="150" t="e">
        <f ca="1">IF(C41=$X$4,"Enter smelter details",IF(ISERROR($V41),"",OFFSET('Smelter Look-up'!$F$4,$V41-4,0)))</f>
        <v>#N/A</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e">
        <f t="shared" ca="1" si="0"/>
        <v>#N/A</v>
      </c>
      <c r="T41" s="156" t="e">
        <f ca="1">IF(B41="","",IF(ISERROR(MATCH($J41,SorP!$B$1:$B$6226,0)),"",INDIRECT("'SorP'!$A$"&amp;MATCH($S41&amp;$J41,SorP!C:C,0))))</f>
        <v>#N/A</v>
      </c>
      <c r="U41" s="169"/>
      <c r="V41" s="170" t="e">
        <f ca="1">IF(C41="",NA(),MATCH($B41&amp;$C41,'Smelter Look-up'!$J:$J,0))</f>
        <v>#N/A</v>
      </c>
      <c r="X41" s="171" t="e">
        <f t="shared" ca="1" si="1"/>
        <v>#N/A</v>
      </c>
      <c r="AB41" s="171" t="e">
        <f t="shared" ca="1" si="2"/>
        <v>#N/A</v>
      </c>
    </row>
    <row r="42" spans="1:28" s="171" customFormat="1" ht="24.7">
      <c r="A42" s="314" t="s">
        <v>83</v>
      </c>
      <c r="B42" s="150" t="str">
        <f ca="1">IF(LEN(A42)=0,"",INDEX('Smelter Look-up'!$A:$A,MATCH($A42,'Smelter Look-up'!$E:$E,0)))</f>
        <v>Cobalt</v>
      </c>
      <c r="C42" s="153" t="str">
        <f ca="1">IF(LEN(A42)=0,"",INDEX('Smelter Look-up'!$C:$C,MATCH($A42,'Smelter Look-up'!$E:$E,0)))</f>
        <v>CoreMax Corporation</v>
      </c>
      <c r="D42" s="150"/>
      <c r="E42" s="150" t="str">
        <f ca="1">IF(ISERROR($V42),"",OFFSET('Smelter Look-up'!$D$4,$V42-4,0)&amp;"")</f>
        <v>TAIWAN, PROVINCE OF CHINA</v>
      </c>
      <c r="F42" s="150" t="str">
        <f ca="1">IF(ISERROR($V42),"",OFFSET('Smelter Look-up'!$E$4,$V42-4,0))</f>
        <v>CID003473</v>
      </c>
      <c r="G42" s="150" t="str">
        <f ca="1">IF(C42=$X$4,"Enter smelter details",IF(ISERROR($V42),"",OFFSET('Smelter Look-up'!$F$4,$V42-4,0)))</f>
        <v>RMI</v>
      </c>
      <c r="H42" s="206">
        <f ca="1">IF(ISERROR($V42),"",OFFSET('Smelter Look-up'!$G$4,$V42-4,0))</f>
        <v>0</v>
      </c>
      <c r="I42" s="207" t="str">
        <f ca="1">IF(ISERROR($V42),"",OFFSET('Smelter Look-up'!$H$4,$V42-4,0))</f>
        <v>Toufen</v>
      </c>
      <c r="J42" s="207" t="str">
        <f ca="1">IF(ISERROR($V42),"",OFFSET('Smelter Look-up'!$I$4,$V42-4,0))</f>
        <v>Miaoli</v>
      </c>
      <c r="K42" s="151"/>
      <c r="L42" s="151"/>
      <c r="M42" s="151"/>
      <c r="N42" s="151"/>
      <c r="O42" s="151"/>
      <c r="P42" s="209"/>
      <c r="Q42" s="152"/>
      <c r="R42" s="150" t="str">
        <f ca="1">IF(ISERROR($V42),"",OFFSET('Smelter Look-up'!$C$4,$V42-4,0)&amp;"")</f>
        <v>CoreMax Corporation</v>
      </c>
      <c r="S42" s="156" t="str">
        <f t="shared" ca="1" si="0"/>
        <v>TW</v>
      </c>
      <c r="T42" s="156" t="str">
        <f ca="1">IF(B42="","",IF(ISERROR(MATCH($J42,SorP!$B$1:$B$6226,0)),"",INDIRECT("'SorP'!$A$"&amp;MATCH($S42&amp;$J42,SorP!C:C,0))))</f>
        <v>TW-MIA</v>
      </c>
      <c r="U42" s="169"/>
      <c r="V42" s="170">
        <f ca="1">IF(C42="",NA(),MATCH($B42&amp;$C42,'Smelter Look-up'!$J:$J,0))</f>
        <v>13</v>
      </c>
      <c r="X42" s="171">
        <f t="shared" ca="1" si="1"/>
        <v>0</v>
      </c>
      <c r="AB42" s="171" t="str">
        <f t="shared" ca="1" si="2"/>
        <v>CobaltCoreMax Corporation</v>
      </c>
    </row>
    <row r="43" spans="1:28" s="171" customFormat="1" ht="37">
      <c r="A43" s="314" t="s">
        <v>163</v>
      </c>
      <c r="B43" s="150" t="str">
        <f ca="1">IF(LEN(A43)=0,"",INDEX('Smelter Look-up'!$A:$A,MATCH($A43,'Smelter Look-up'!$E:$E,0)))</f>
        <v>Cobalt</v>
      </c>
      <c r="C43" s="153" t="str">
        <f ca="1">IF(LEN(A43)=0,"",INDEX('Smelter Look-up'!$C:$C,MATCH($A43,'Smelter Look-up'!$E:$E,0)))</f>
        <v>ICoNiChem</v>
      </c>
      <c r="D43" s="150"/>
      <c r="E43" s="150" t="str">
        <f ca="1">IF(ISERROR($V43),"",OFFSET('Smelter Look-up'!$D$4,$V43-4,0)&amp;"")</f>
        <v>UNITED KINGDOM OF GREAT BRITAIN AND NORTHERN IRELAND</v>
      </c>
      <c r="F43" s="150" t="str">
        <f ca="1">IF(ISERROR($V43),"",OFFSET('Smelter Look-up'!$E$4,$V43-4,0))</f>
        <v>CID003491</v>
      </c>
      <c r="G43" s="150" t="str">
        <f ca="1">IF(C43=$X$4,"Enter smelter details",IF(ISERROR($V43),"",OFFSET('Smelter Look-up'!$F$4,$V43-4,0)))</f>
        <v>RMI</v>
      </c>
      <c r="H43" s="206">
        <f ca="1">IF(ISERROR($V43),"",OFFSET('Smelter Look-up'!$G$4,$V43-4,0))</f>
        <v>0</v>
      </c>
      <c r="I43" s="207" t="str">
        <f ca="1">IF(ISERROR($V43),"",OFFSET('Smelter Look-up'!$H$4,$V43-4,0))</f>
        <v>Widnes</v>
      </c>
      <c r="J43" s="207" t="str">
        <f ca="1">IF(ISERROR($V43),"",OFFSET('Smelter Look-up'!$I$4,$V43-4,0))</f>
        <v>Cheshire West and Chester</v>
      </c>
      <c r="K43" s="151"/>
      <c r="L43" s="151"/>
      <c r="M43" s="151"/>
      <c r="N43" s="151"/>
      <c r="O43" s="151"/>
      <c r="P43" s="209"/>
      <c r="Q43" s="152"/>
      <c r="R43" s="150" t="str">
        <f ca="1">IF(ISERROR($V43),"",OFFSET('Smelter Look-up'!$C$4,$V43-4,0)&amp;"")</f>
        <v>ICoNiChem</v>
      </c>
      <c r="S43" s="156" t="str">
        <f t="shared" ca="1" si="0"/>
        <v>GB</v>
      </c>
      <c r="T43" s="156" t="str">
        <f ca="1">IF(B43="","",IF(ISERROR(MATCH($J43,SorP!$B$1:$B$6226,0)),"",INDIRECT("'SorP'!$A$"&amp;MATCH($S43&amp;$J43,SorP!C:C,0))))</f>
        <v>GB-CHW</v>
      </c>
      <c r="U43" s="169"/>
      <c r="V43" s="170">
        <f ca="1">IF(C43="",NA(),MATCH($B43&amp;$C43,'Smelter Look-up'!$J:$J,0))</f>
        <v>49</v>
      </c>
      <c r="X43" s="171">
        <f t="shared" ca="1" si="1"/>
        <v>0</v>
      </c>
      <c r="AB43" s="171" t="str">
        <f t="shared" ca="1" si="2"/>
        <v>CobaltICoNiChem</v>
      </c>
    </row>
    <row r="44" spans="1:28" s="171" customFormat="1" ht="24.7">
      <c r="A44" s="314" t="s">
        <v>317</v>
      </c>
      <c r="B44" s="150" t="str">
        <f ca="1">IF(LEN(A44)=0,"",INDEX('Smelter Look-up'!$A:$A,MATCH($A44,'Smelter Look-up'!$E:$E,0)))</f>
        <v>Cobalt</v>
      </c>
      <c r="C44" s="153" t="str">
        <f ca="1">IF(LEN(A44)=0,"",INDEX('Smelter Look-up'!$C:$C,MATCH($A44,'Smelter Look-up'!$E:$E,0)))</f>
        <v>Zhejiang Greatpower Cobalt Materials Co., Ltd.</v>
      </c>
      <c r="D44" s="150"/>
      <c r="E44" s="150" t="str">
        <f ca="1">IF(ISERROR($V44),"",OFFSET('Smelter Look-up'!$D$4,$V44-4,0)&amp;"")</f>
        <v>CHINA</v>
      </c>
      <c r="F44" s="150" t="str">
        <f ca="1">IF(ISERROR($V44),"",OFFSET('Smelter Look-up'!$E$4,$V44-4,0))</f>
        <v>CID003526</v>
      </c>
      <c r="G44" s="150" t="str">
        <f ca="1">IF(C44=$X$4,"Enter smelter details",IF(ISERROR($V44),"",OFFSET('Smelter Look-up'!$F$4,$V44-4,0)))</f>
        <v>RMI</v>
      </c>
      <c r="H44" s="206">
        <f ca="1">IF(ISERROR($V44),"",OFFSET('Smelter Look-up'!$G$4,$V44-4,0))</f>
        <v>0</v>
      </c>
      <c r="I44" s="207" t="str">
        <f ca="1">IF(ISERROR($V44),"",OFFSET('Smelter Look-up'!$H$4,$V44-4,0))</f>
        <v>Shaoxing</v>
      </c>
      <c r="J44" s="207" t="str">
        <f ca="1">IF(ISERROR($V44),"",OFFSET('Smelter Look-up'!$I$4,$V44-4,0))</f>
        <v>Zhejiang Sheng</v>
      </c>
      <c r="K44" s="151"/>
      <c r="L44" s="151"/>
      <c r="M44" s="151"/>
      <c r="N44" s="151"/>
      <c r="O44" s="151"/>
      <c r="P44" s="209"/>
      <c r="Q44" s="152"/>
      <c r="R44" s="150" t="str">
        <f ca="1">IF(ISERROR($V44),"",OFFSET('Smelter Look-up'!$C$4,$V44-4,0)&amp;"")</f>
        <v>Zhejiang Greatpower Cobalt Materials Co., Ltd.</v>
      </c>
      <c r="S44" s="156" t="str">
        <f t="shared" ca="1" si="0"/>
        <v>CN</v>
      </c>
      <c r="T44" s="156" t="str">
        <f ca="1">IF(B44="","",IF(ISERROR(MATCH($J44,SorP!$B$1:$B$6226,0)),"",INDIRECT("'SorP'!$A$"&amp;MATCH($S44&amp;$J44,SorP!C:C,0))))</f>
        <v>CN-ZJ</v>
      </c>
      <c r="U44" s="169"/>
      <c r="V44" s="170">
        <f ca="1">IF(C44="",NA(),MATCH($B44&amp;$C44,'Smelter Look-up'!$J:$J,0))</f>
        <v>149</v>
      </c>
      <c r="X44" s="171">
        <f t="shared" ca="1" si="1"/>
        <v>0</v>
      </c>
      <c r="AB44" s="171" t="str">
        <f t="shared" ca="1" si="2"/>
        <v>CobaltZhejiang Greatpower Cobalt Materials Co., Ltd.</v>
      </c>
    </row>
    <row r="45" spans="1:28" s="171" customFormat="1" ht="24.7">
      <c r="A45" s="314" t="s">
        <v>218</v>
      </c>
      <c r="B45" s="150" t="str">
        <f ca="1">IF(LEN(A45)=0,"",INDEX('Smelter Look-up'!$A:$A,MATCH($A45,'Smelter Look-up'!$E:$E,0)))</f>
        <v>Cobalt</v>
      </c>
      <c r="C45" s="153" t="str">
        <f ca="1">IF(LEN(A45)=0,"",INDEX('Smelter Look-up'!$C:$C,MATCH($A45,'Smelter Look-up'!$E:$E,0)))</f>
        <v>Mechema Taiwan Plant 2</v>
      </c>
      <c r="D45" s="150"/>
      <c r="E45" s="150" t="str">
        <f ca="1">IF(ISERROR($V45),"",OFFSET('Smelter Look-up'!$D$4,$V45-4,0)&amp;"")</f>
        <v>TAIWAN, PROVINCE OF CHINA</v>
      </c>
      <c r="F45" s="150" t="str">
        <f ca="1">IF(ISERROR($V45),"",OFFSET('Smelter Look-up'!$E$4,$V45-4,0))</f>
        <v>CID003534</v>
      </c>
      <c r="G45" s="150" t="str">
        <f ca="1">IF(C45=$X$4,"Enter smelter details",IF(ISERROR($V45),"",OFFSET('Smelter Look-up'!$F$4,$V45-4,0)))</f>
        <v>RMI</v>
      </c>
      <c r="H45" s="206">
        <f ca="1">IF(ISERROR($V45),"",OFFSET('Smelter Look-up'!$G$4,$V45-4,0))</f>
        <v>0</v>
      </c>
      <c r="I45" s="207" t="str">
        <f ca="1">IF(ISERROR($V45),"",OFFSET('Smelter Look-up'!$H$4,$V45-4,0))</f>
        <v>Taoyuan</v>
      </c>
      <c r="J45" s="207" t="str">
        <f ca="1">IF(ISERROR($V45),"",OFFSET('Smelter Look-up'!$I$4,$V45-4,0))</f>
        <v>Taoyuan</v>
      </c>
      <c r="K45" s="151"/>
      <c r="L45" s="151"/>
      <c r="M45" s="151"/>
      <c r="N45" s="151"/>
      <c r="O45" s="151"/>
      <c r="P45" s="209"/>
      <c r="Q45" s="152"/>
      <c r="R45" s="150" t="str">
        <f ca="1">IF(ISERROR($V45),"",OFFSET('Smelter Look-up'!$C$4,$V45-4,0)&amp;"")</f>
        <v>Mechema Taiwan Plant 2</v>
      </c>
      <c r="S45" s="156" t="str">
        <f t="shared" ca="1" si="0"/>
        <v>TW</v>
      </c>
      <c r="T45" s="156" t="str">
        <f ca="1">IF(B45="","",IF(ISERROR(MATCH($J45,SorP!$B$1:$B$6226,0)),"",INDIRECT("'SorP'!$A$"&amp;MATCH($S45&amp;$J45,SorP!C:C,0))))</f>
        <v>TW-TAO</v>
      </c>
      <c r="U45" s="169"/>
      <c r="V45" s="170">
        <f ca="1">IF(C45="",NA(),MATCH($B45&amp;$C45,'Smelter Look-up'!$J:$J,0))</f>
        <v>85</v>
      </c>
      <c r="X45" s="171">
        <f t="shared" ca="1" si="1"/>
        <v>0</v>
      </c>
      <c r="AB45" s="171" t="str">
        <f t="shared" ca="1" si="2"/>
        <v>CobaltMechema Taiwan Plant 2</v>
      </c>
    </row>
    <row r="46" spans="1:28" s="171" customFormat="1" ht="20">
      <c r="A46" s="314" t="s">
        <v>140</v>
      </c>
      <c r="B46" s="150" t="str">
        <f ca="1">IF(LEN(A46)=0,"",INDEX('Smelter Look-up'!$A:$A,MATCH($A46,'Smelter Look-up'!$E:$E,0)))</f>
        <v>Cobalt</v>
      </c>
      <c r="C46" s="153" t="str">
        <f ca="1">IF(LEN(A46)=0,"",INDEX('Smelter Look-up'!$C:$C,MATCH($A46,'Smelter Look-up'!$E:$E,0)))</f>
        <v>Harima Refinery, Sumitomo Metal Mining</v>
      </c>
      <c r="D46" s="150"/>
      <c r="E46" s="150" t="str">
        <f ca="1">IF(ISERROR($V46),"",OFFSET('Smelter Look-up'!$D$4,$V46-4,0)&amp;"")</f>
        <v>JAPAN</v>
      </c>
      <c r="F46" s="150" t="str">
        <f ca="1">IF(ISERROR($V46),"",OFFSET('Smelter Look-up'!$E$4,$V46-4,0))</f>
        <v>CID003577</v>
      </c>
      <c r="G46" s="150" t="str">
        <f ca="1">IF(C46=$X$4,"Enter smelter details",IF(ISERROR($V46),"",OFFSET('Smelter Look-up'!$F$4,$V46-4,0)))</f>
        <v>RMI</v>
      </c>
      <c r="H46" s="206">
        <f ca="1">IF(ISERROR($V46),"",OFFSET('Smelter Look-up'!$G$4,$V46-4,0))</f>
        <v>0</v>
      </c>
      <c r="I46" s="207" t="str">
        <f ca="1">IF(ISERROR($V46),"",OFFSET('Smelter Look-up'!$H$4,$V46-4,0))</f>
        <v>Kako-gun</v>
      </c>
      <c r="J46" s="207" t="str">
        <f ca="1">IF(ISERROR($V46),"",OFFSET('Smelter Look-up'!$I$4,$V46-4,0))</f>
        <v>Hyogo</v>
      </c>
      <c r="K46" s="151"/>
      <c r="L46" s="151"/>
      <c r="M46" s="151"/>
      <c r="N46" s="151"/>
      <c r="O46" s="151"/>
      <c r="P46" s="209"/>
      <c r="Q46" s="152"/>
      <c r="R46" s="150" t="str">
        <f ca="1">IF(ISERROR($V46),"",OFFSET('Smelter Look-up'!$C$4,$V46-4,0)&amp;"")</f>
        <v>Harima Refinery, Sumitomo Metal Mining</v>
      </c>
      <c r="S46" s="156" t="str">
        <f t="shared" ca="1" si="0"/>
        <v>JP</v>
      </c>
      <c r="T46" s="156" t="str">
        <f ca="1">IF(B46="","",IF(ISERROR(MATCH($J46,SorP!$B$1:$B$6226,0)),"",INDIRECT("'SorP'!$A$"&amp;MATCH($S46&amp;$J46,SorP!C:C,0))))</f>
        <v>JP-28</v>
      </c>
      <c r="U46" s="169"/>
      <c r="V46" s="170">
        <f ca="1">IF(C46="",NA(),MATCH($B46&amp;$C46,'Smelter Look-up'!$J:$J,0))</f>
        <v>39</v>
      </c>
      <c r="X46" s="171">
        <f t="shared" ca="1" si="1"/>
        <v>0</v>
      </c>
      <c r="AB46" s="171" t="str">
        <f t="shared" ca="1" si="2"/>
        <v>CobaltHarima Refinery, Sumitomo Metal Mining</v>
      </c>
    </row>
    <row r="47" spans="1:28" s="171" customFormat="1" ht="24.7">
      <c r="A47" s="314" t="s">
        <v>295</v>
      </c>
      <c r="B47" s="150" t="str">
        <f ca="1">IF(LEN(A47)=0,"",INDEX('Smelter Look-up'!$A:$A,MATCH($A47,'Smelter Look-up'!$E:$E,0)))</f>
        <v>Cobalt</v>
      </c>
      <c r="C47" s="153" t="str">
        <f ca="1">IF(LEN(A47)=0,"",INDEX('Smelter Look-up'!$C:$C,MATCH($A47,'Smelter Look-up'!$E:$E,0)))</f>
        <v>Vale – Long Harbour Processing Plant (LHPP)</v>
      </c>
      <c r="D47" s="150"/>
      <c r="E47" s="150" t="str">
        <f ca="1">IF(ISERROR($V47),"",OFFSET('Smelter Look-up'!$D$4,$V47-4,0)&amp;"")</f>
        <v>CANADA</v>
      </c>
      <c r="F47" s="150" t="str">
        <f ca="1">IF(ISERROR($V47),"",OFFSET('Smelter Look-up'!$E$4,$V47-4,0))</f>
        <v>CID003584</v>
      </c>
      <c r="G47" s="150" t="str">
        <f ca="1">IF(C47=$X$4,"Enter smelter details",IF(ISERROR($V47),"",OFFSET('Smelter Look-up'!$F$4,$V47-4,0)))</f>
        <v>RMI</v>
      </c>
      <c r="H47" s="206">
        <f ca="1">IF(ISERROR($V47),"",OFFSET('Smelter Look-up'!$G$4,$V47-4,0))</f>
        <v>0</v>
      </c>
      <c r="I47" s="207" t="str">
        <f ca="1">IF(ISERROR($V47),"",OFFSET('Smelter Look-up'!$H$4,$V47-4,0))</f>
        <v>Long Harbour</v>
      </c>
      <c r="J47" s="207" t="str">
        <f ca="1">IF(ISERROR($V47),"",OFFSET('Smelter Look-up'!$I$4,$V47-4,0))</f>
        <v>Newfoundland and Labrador</v>
      </c>
      <c r="K47" s="151"/>
      <c r="L47" s="151"/>
      <c r="M47" s="151"/>
      <c r="N47" s="151"/>
      <c r="O47" s="151"/>
      <c r="P47" s="209"/>
      <c r="Q47" s="152"/>
      <c r="R47" s="150" t="str">
        <f ca="1">IF(ISERROR($V47),"",OFFSET('Smelter Look-up'!$C$4,$V47-4,0)&amp;"")</f>
        <v>Vale – Long Harbour Processing Plant (LHPP)</v>
      </c>
      <c r="S47" s="156" t="str">
        <f t="shared" ca="1" si="0"/>
        <v>CA</v>
      </c>
      <c r="T47" s="156" t="str">
        <f ca="1">IF(B47="","",IF(ISERROR(MATCH($J47,SorP!$B$1:$B$6226,0)),"",INDIRECT("'SorP'!$A$"&amp;MATCH($S47&amp;$J47,SorP!C:C,0))))</f>
        <v>CA-NL</v>
      </c>
      <c r="U47" s="169"/>
      <c r="V47" s="170">
        <f ca="1">IF(C47="",NA(),MATCH($B47&amp;$C47,'Smelter Look-up'!$J:$J,0))</f>
        <v>140</v>
      </c>
      <c r="X47" s="171">
        <f t="shared" ca="1" si="1"/>
        <v>0</v>
      </c>
      <c r="AB47" s="171" t="str">
        <f t="shared" ca="1" si="2"/>
        <v>CobaltVale – Long Harbour Processing Plant (LHPP)</v>
      </c>
    </row>
    <row r="48" spans="1:28" s="171" customFormat="1" ht="24.7">
      <c r="A48" s="314" t="s">
        <v>12713</v>
      </c>
      <c r="B48" s="150" t="str">
        <f ca="1">IF(LEN(A48)=0,"",INDEX('Smelter Look-up'!$A:$A,MATCH($A48,'Smelter Look-up'!$E:$E,0)))</f>
        <v>Cobalt</v>
      </c>
      <c r="C48" s="153" t="str">
        <f ca="1">IF(LEN(A48)=0,"",INDEX('Smelter Look-up'!$C:$C,MATCH($A48,'Smelter Look-up'!$E:$E,0)))</f>
        <v>Kisanfu Mining (Kimin)</v>
      </c>
      <c r="D48" s="150"/>
      <c r="E48" s="150" t="str">
        <f ca="1">IF(ISERROR($V48),"",OFFSET('Smelter Look-up'!$D$4,$V48-4,0)&amp;"")</f>
        <v>CONGO, DEMOCRATIC REPUBLIC OF THE</v>
      </c>
      <c r="F48" s="150" t="str">
        <f ca="1">IF(ISERROR($V48),"",OFFSET('Smelter Look-up'!$E$4,$V48-4,0))</f>
        <v>CID003587</v>
      </c>
      <c r="G48" s="150" t="str">
        <f ca="1">IF(C48=$X$4,"Enter smelter details",IF(ISERROR($V48),"",OFFSET('Smelter Look-up'!$F$4,$V48-4,0)))</f>
        <v>RMI</v>
      </c>
      <c r="H48" s="206">
        <f ca="1">IF(ISERROR($V48),"",OFFSET('Smelter Look-up'!$G$4,$V48-4,0))</f>
        <v>0</v>
      </c>
      <c r="I48" s="207" t="str">
        <f ca="1">IF(ISERROR($V48),"",OFFSET('Smelter Look-up'!$H$4,$V48-4,0))</f>
        <v>Kolwezi</v>
      </c>
      <c r="J48" s="207" t="str">
        <f ca="1">IF(ISERROR($V48),"",OFFSET('Smelter Look-up'!$I$4,$V48-4,0))</f>
        <v>Lualaba</v>
      </c>
      <c r="K48" s="151"/>
      <c r="L48" s="151"/>
      <c r="M48" s="151"/>
      <c r="N48" s="151"/>
      <c r="O48" s="151"/>
      <c r="P48" s="209"/>
      <c r="Q48" s="152"/>
      <c r="R48" s="150" t="str">
        <f ca="1">IF(ISERROR($V48),"",OFFSET('Smelter Look-up'!$C$4,$V48-4,0)&amp;"")</f>
        <v>Kisanfu Mining (Kimin)</v>
      </c>
      <c r="S48" s="156" t="str">
        <f t="shared" ca="1" si="0"/>
        <v>CD</v>
      </c>
      <c r="T48" s="156" t="str">
        <f ca="1">IF(B48="","",IF(ISERROR(MATCH($J48,SorP!$B$1:$B$6226,0)),"",INDIRECT("'SorP'!$A$"&amp;MATCH($S48&amp;$J48,SorP!C:C,0))))</f>
        <v>CD-LU</v>
      </c>
      <c r="U48" s="169"/>
      <c r="V48" s="170">
        <f ca="1">IF(C48="",NA(),MATCH($B48&amp;$C48,'Smelter Look-up'!$J:$J,0))</f>
        <v>67</v>
      </c>
      <c r="X48" s="171">
        <f t="shared" ca="1" si="1"/>
        <v>0</v>
      </c>
      <c r="AB48" s="171" t="str">
        <f t="shared" ca="1" si="2"/>
        <v>CobaltKisanfu Mining (Kimin)</v>
      </c>
    </row>
    <row r="49" spans="1:28" s="171" customFormat="1" ht="24.7">
      <c r="A49" s="314" t="s">
        <v>134</v>
      </c>
      <c r="B49" s="150" t="str">
        <f ca="1">IF(LEN(A49)=0,"",INDEX('Smelter Look-up'!$A:$A,MATCH($A49,'Smelter Look-up'!$E:$E,0)))</f>
        <v>Cobalt</v>
      </c>
      <c r="C49" s="153" t="str">
        <f ca="1">IF(LEN(A49)=0,"",INDEX('Smelter Look-up'!$C:$C,MATCH($A49,'Smelter Look-up'!$E:$E,0)))</f>
        <v>Guizhou CNGR Resource Recycling Industry Development Co., Ltd.</v>
      </c>
      <c r="D49" s="150"/>
      <c r="E49" s="150" t="str">
        <f ca="1">IF(ISERROR($V49),"",OFFSET('Smelter Look-up'!$D$4,$V49-4,0)&amp;"")</f>
        <v>CHINA</v>
      </c>
      <c r="F49" s="150" t="str">
        <f ca="1">IF(ISERROR($V49),"",OFFSET('Smelter Look-up'!$E$4,$V49-4,0))</f>
        <v>CID003610</v>
      </c>
      <c r="G49" s="150" t="str">
        <f ca="1">IF(C49=$X$4,"Enter smelter details",IF(ISERROR($V49),"",OFFSET('Smelter Look-up'!$F$4,$V49-4,0)))</f>
        <v>RMI</v>
      </c>
      <c r="H49" s="206">
        <f ca="1">IF(ISERROR($V49),"",OFFSET('Smelter Look-up'!$G$4,$V49-4,0))</f>
        <v>0</v>
      </c>
      <c r="I49" s="207" t="str">
        <f ca="1">IF(ISERROR($V49),"",OFFSET('Smelter Look-up'!$H$4,$V49-4,0))</f>
        <v>Tongren</v>
      </c>
      <c r="J49" s="207" t="str">
        <f ca="1">IF(ISERROR($V49),"",OFFSET('Smelter Look-up'!$I$4,$V49-4,0))</f>
        <v>Guizhou Sheng</v>
      </c>
      <c r="K49" s="151"/>
      <c r="L49" s="151"/>
      <c r="M49" s="151"/>
      <c r="N49" s="151"/>
      <c r="O49" s="151"/>
      <c r="P49" s="209"/>
      <c r="Q49" s="152"/>
      <c r="R49" s="150" t="str">
        <f ca="1">IF(ISERROR($V49),"",OFFSET('Smelter Look-up'!$C$4,$V49-4,0)&amp;"")</f>
        <v>Guizhou CNGR Resource Recycling Industry Development Co., Ltd.</v>
      </c>
      <c r="S49" s="156" t="str">
        <f t="shared" ca="1" si="0"/>
        <v>CN</v>
      </c>
      <c r="T49" s="156" t="str">
        <f ca="1">IF(B49="","",IF(ISERROR(MATCH($J49,SorP!$B$1:$B$6226,0)),"",INDIRECT("'SorP'!$A$"&amp;MATCH($S49&amp;$J49,SorP!C:C,0))))</f>
        <v>CN-GZ</v>
      </c>
      <c r="U49" s="169"/>
      <c r="V49" s="170">
        <f ca="1">IF(C49="",NA(),MATCH($B49&amp;$C49,'Smelter Look-up'!$J:$J,0))</f>
        <v>36</v>
      </c>
      <c r="X49" s="171">
        <f t="shared" ca="1" si="1"/>
        <v>0</v>
      </c>
      <c r="AB49" s="171" t="str">
        <f t="shared" ca="1" si="2"/>
        <v>CobaltGuizhou CNGR Resource Recycling Industry Development Co., Ltd.</v>
      </c>
    </row>
    <row r="50" spans="1:28" s="171" customFormat="1" ht="20">
      <c r="A50" s="314" t="s">
        <v>19215</v>
      </c>
      <c r="B50" s="150" t="e">
        <f ca="1">IF(LEN(A50)=0,"",INDEX('Smelter Look-up'!$A:$A,MATCH($A50,'Smelter Look-up'!$E:$E,0)))</f>
        <v>#N/A</v>
      </c>
      <c r="C50" s="153" t="e">
        <f ca="1">IF(LEN(A50)=0,"",INDEX('Smelter Look-up'!$C:$C,MATCH($A50,'Smelter Look-up'!$E:$E,0)))</f>
        <v>#N/A</v>
      </c>
      <c r="D50" s="150"/>
      <c r="E50" s="150" t="str">
        <f ca="1">IF(ISERROR($V50),"",OFFSET('Smelter Look-up'!$D$4,$V50-4,0)&amp;"")</f>
        <v/>
      </c>
      <c r="F50" s="150" t="str">
        <f ca="1">IF(ISERROR($V50),"",OFFSET('Smelter Look-up'!$E$4,$V50-4,0))</f>
        <v/>
      </c>
      <c r="G50" s="150" t="e">
        <f ca="1">IF(C50=$X$4,"Enter smelter details",IF(ISERROR($V50),"",OFFSET('Smelter Look-up'!$F$4,$V50-4,0)))</f>
        <v>#N/A</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e">
        <f t="shared" ca="1" si="0"/>
        <v>#N/A</v>
      </c>
      <c r="T50" s="156" t="e">
        <f ca="1">IF(B50="","",IF(ISERROR(MATCH($J50,SorP!$B$1:$B$6226,0)),"",INDIRECT("'SorP'!$A$"&amp;MATCH($S50&amp;$J50,SorP!C:C,0))))</f>
        <v>#N/A</v>
      </c>
      <c r="U50" s="169"/>
      <c r="V50" s="170" t="e">
        <f ca="1">IF(C50="",NA(),MATCH($B50&amp;$C50,'Smelter Look-up'!$J:$J,0))</f>
        <v>#N/A</v>
      </c>
      <c r="X50" s="171" t="e">
        <f t="shared" ca="1" si="1"/>
        <v>#N/A</v>
      </c>
      <c r="AB50" s="171" t="e">
        <f t="shared" ca="1" si="2"/>
        <v>#N/A</v>
      </c>
    </row>
    <row r="51" spans="1:28" s="171" customFormat="1" ht="20">
      <c r="A51" s="314" t="s">
        <v>12528</v>
      </c>
      <c r="B51" s="150" t="str">
        <f ca="1">IF(LEN(A51)=0,"",INDEX('Smelter Look-up'!$A:$A,MATCH($A51,'Smelter Look-up'!$E:$E,0)))</f>
        <v>Cobalt</v>
      </c>
      <c r="C51" s="153" t="str">
        <f ca="1">IF(LEN(A51)=0,"",INDEX('Smelter Look-up'!$C:$C,MATCH($A51,'Smelter Look-up'!$E:$E,0)))</f>
        <v>Anhui Hanrui New Material Co., Ltd.</v>
      </c>
      <c r="D51" s="150"/>
      <c r="E51" s="150" t="str">
        <f ca="1">IF(ISERROR($V51),"",OFFSET('Smelter Look-up'!$D$4,$V51-4,0)&amp;"")</f>
        <v>CHINA</v>
      </c>
      <c r="F51" s="150" t="str">
        <f ca="1">IF(ISERROR($V51),"",OFFSET('Smelter Look-up'!$E$4,$V51-4,0))</f>
        <v>CID003927</v>
      </c>
      <c r="G51" s="150" t="str">
        <f ca="1">IF(C51=$X$4,"Enter smelter details",IF(ISERROR($V51),"",OFFSET('Smelter Look-up'!$F$4,$V51-4,0)))</f>
        <v>RMI</v>
      </c>
      <c r="H51" s="206">
        <f ca="1">IF(ISERROR($V51),"",OFFSET('Smelter Look-up'!$G$4,$V51-4,0))</f>
        <v>0</v>
      </c>
      <c r="I51" s="207" t="str">
        <f ca="1">IF(ISERROR($V51),"",OFFSET('Smelter Look-up'!$H$4,$V51-4,0))</f>
        <v>Chuzhou</v>
      </c>
      <c r="J51" s="207" t="str">
        <f ca="1">IF(ISERROR($V51),"",OFFSET('Smelter Look-up'!$I$4,$V51-4,0))</f>
        <v>Anhui Sheng</v>
      </c>
      <c r="K51" s="151"/>
      <c r="L51" s="151"/>
      <c r="M51" s="151"/>
      <c r="N51" s="151"/>
      <c r="O51" s="151"/>
      <c r="P51" s="209"/>
      <c r="Q51" s="152"/>
      <c r="R51" s="150" t="str">
        <f ca="1">IF(ISERROR($V51),"",OFFSET('Smelter Look-up'!$C$4,$V51-4,0)&amp;"")</f>
        <v>Anhui Hanrui New Material Co., Ltd.</v>
      </c>
      <c r="S51" s="156" t="str">
        <f t="shared" ca="1" si="0"/>
        <v>CN</v>
      </c>
      <c r="T51" s="156" t="str">
        <f ca="1">IF(B51="","",IF(ISERROR(MATCH($J51,SorP!$B$1:$B$6226,0)),"",INDIRECT("'SorP'!$A$"&amp;MATCH($S51&amp;$J51,SorP!C:C,0))))</f>
        <v>CN-AH</v>
      </c>
      <c r="U51" s="169"/>
      <c r="V51" s="170">
        <f ca="1">IF(C51="",NA(),MATCH($B51&amp;$C51,'Smelter Look-up'!$J:$J,0))</f>
        <v>5</v>
      </c>
      <c r="X51" s="171">
        <f t="shared" ca="1" si="1"/>
        <v>0</v>
      </c>
      <c r="AB51" s="171" t="str">
        <f t="shared" ca="1" si="2"/>
        <v>CobaltAnhui Hanrui New Material Co., Ltd.</v>
      </c>
    </row>
    <row r="52" spans="1:28" s="171" customFormat="1" ht="24.7">
      <c r="A52" s="314" t="s">
        <v>12533</v>
      </c>
      <c r="B52" s="150" t="str">
        <f ca="1">IF(LEN(A52)=0,"",INDEX('Smelter Look-up'!$A:$A,MATCH($A52,'Smelter Look-up'!$E:$E,0)))</f>
        <v>Cobalt</v>
      </c>
      <c r="C52" s="153" t="str">
        <f ca="1">IF(LEN(A52)=0,"",INDEX('Smelter Look-up'!$C:$C,MATCH($A52,'Smelter Look-up'!$E:$E,0)))</f>
        <v>Guangdong Fangyuan New Materials Group Co., Ltd.</v>
      </c>
      <c r="D52" s="150"/>
      <c r="E52" s="150" t="str">
        <f ca="1">IF(ISERROR($V52),"",OFFSET('Smelter Look-up'!$D$4,$V52-4,0)&amp;"")</f>
        <v>CHINA</v>
      </c>
      <c r="F52" s="150" t="str">
        <f ca="1">IF(ISERROR($V52),"",OFFSET('Smelter Look-up'!$E$4,$V52-4,0))</f>
        <v>CID003940</v>
      </c>
      <c r="G52" s="150" t="str">
        <f ca="1">IF(C52=$X$4,"Enter smelter details",IF(ISERROR($V52),"",OFFSET('Smelter Look-up'!$F$4,$V52-4,0)))</f>
        <v>RMI</v>
      </c>
      <c r="H52" s="206">
        <f ca="1">IF(ISERROR($V52),"",OFFSET('Smelter Look-up'!$G$4,$V52-4,0))</f>
        <v>0</v>
      </c>
      <c r="I52" s="207" t="str">
        <f ca="1">IF(ISERROR($V52),"",OFFSET('Smelter Look-up'!$H$4,$V52-4,0))</f>
        <v>Jiangmen City</v>
      </c>
      <c r="J52" s="207" t="str">
        <f ca="1">IF(ISERROR($V52),"",OFFSET('Smelter Look-up'!$I$4,$V52-4,0))</f>
        <v>Guangdong Sheng</v>
      </c>
      <c r="K52" s="151"/>
      <c r="L52" s="151"/>
      <c r="M52" s="151"/>
      <c r="N52" s="151"/>
      <c r="O52" s="151"/>
      <c r="P52" s="209"/>
      <c r="Q52" s="152"/>
      <c r="R52" s="150" t="str">
        <f ca="1">IF(ISERROR($V52),"",OFFSET('Smelter Look-up'!$C$4,$V52-4,0)&amp;"")</f>
        <v>Guangdong Fangyuan New Materials Group Co., Ltd.</v>
      </c>
      <c r="S52" s="156" t="str">
        <f t="shared" ca="1" si="0"/>
        <v>CN</v>
      </c>
      <c r="T52" s="156" t="str">
        <f ca="1">IF(B52="","",IF(ISERROR(MATCH($J52,SorP!$B$1:$B$6226,0)),"",INDIRECT("'SorP'!$A$"&amp;MATCH($S52&amp;$J52,SorP!C:C,0))))</f>
        <v>CN-GD</v>
      </c>
      <c r="U52" s="169"/>
      <c r="V52" s="170">
        <f ca="1">IF(C52="",NA(),MATCH($B52&amp;$C52,'Smelter Look-up'!$J:$J,0))</f>
        <v>32</v>
      </c>
      <c r="X52" s="171">
        <f t="shared" ca="1" si="1"/>
        <v>0</v>
      </c>
      <c r="AB52" s="171" t="str">
        <f t="shared" ca="1" si="2"/>
        <v>CobaltGuangdong Fangyuan New Materials Group Co., Ltd.</v>
      </c>
    </row>
    <row r="53" spans="1:28" s="171" customFormat="1" ht="24.7">
      <c r="A53" s="314" t="s">
        <v>12530</v>
      </c>
      <c r="B53" s="150" t="str">
        <f ca="1">IF(LEN(A53)=0,"",INDEX('Smelter Look-up'!$A:$A,MATCH($A53,'Smelter Look-up'!$E:$E,0)))</f>
        <v>Cobalt</v>
      </c>
      <c r="C53" s="153" t="str">
        <f ca="1">IF(LEN(A53)=0,"",INDEX('Smelter Look-up'!$C:$C,MATCH($A53,'Smelter Look-up'!$E:$E,0)))</f>
        <v>Fujian Evergreen New Energy Technology Co.</v>
      </c>
      <c r="D53" s="150"/>
      <c r="E53" s="150" t="str">
        <f ca="1">IF(ISERROR($V53),"",OFFSET('Smelter Look-up'!$D$4,$V53-4,0)&amp;"")</f>
        <v>CHINA</v>
      </c>
      <c r="F53" s="150" t="str">
        <f ca="1">IF(ISERROR($V53),"",OFFSET('Smelter Look-up'!$E$4,$V53-4,0))</f>
        <v>CID003974</v>
      </c>
      <c r="G53" s="150" t="str">
        <f ca="1">IF(C53=$X$4,"Enter smelter details",IF(ISERROR($V53),"",OFFSET('Smelter Look-up'!$F$4,$V53-4,0)))</f>
        <v>RMI</v>
      </c>
      <c r="H53" s="206">
        <f ca="1">IF(ISERROR($V53),"",OFFSET('Smelter Look-up'!$G$4,$V53-4,0))</f>
        <v>0</v>
      </c>
      <c r="I53" s="207" t="str">
        <f ca="1">IF(ISERROR($V53),"",OFFSET('Smelter Look-up'!$H$4,$V53-4,0))</f>
        <v>Longyan City</v>
      </c>
      <c r="J53" s="207" t="str">
        <f ca="1">IF(ISERROR($V53),"",OFFSET('Smelter Look-up'!$I$4,$V53-4,0))</f>
        <v>Fujian Sheng</v>
      </c>
      <c r="K53" s="151"/>
      <c r="L53" s="151"/>
      <c r="M53" s="151"/>
      <c r="N53" s="151"/>
      <c r="O53" s="151"/>
      <c r="P53" s="209"/>
      <c r="Q53" s="152"/>
      <c r="R53" s="150" t="str">
        <f ca="1">IF(ISERROR($V53),"",OFFSET('Smelter Look-up'!$C$4,$V53-4,0)&amp;"")</f>
        <v>Fujian Evergreen New Energy Technology Co.</v>
      </c>
      <c r="S53" s="156" t="str">
        <f t="shared" ca="1" si="0"/>
        <v>CN</v>
      </c>
      <c r="T53" s="156" t="str">
        <f ca="1">IF(B53="","",IF(ISERROR(MATCH($J53,SorP!$B$1:$B$6226,0)),"",INDIRECT("'SorP'!$A$"&amp;MATCH($S53&amp;$J53,SorP!C:C,0))))</f>
        <v>CN-FJ</v>
      </c>
      <c r="U53" s="169"/>
      <c r="V53" s="170">
        <f ca="1">IF(C53="",NA(),MATCH($B53&amp;$C53,'Smelter Look-up'!$J:$J,0))</f>
        <v>25</v>
      </c>
      <c r="X53" s="171">
        <f t="shared" ca="1" si="1"/>
        <v>0</v>
      </c>
      <c r="AB53" s="171" t="str">
        <f t="shared" ca="1" si="2"/>
        <v>CobaltFujian Evergreen New Energy Technology Co.</v>
      </c>
    </row>
    <row r="54" spans="1:28" s="171" customFormat="1" ht="20">
      <c r="A54" s="314" t="s">
        <v>12535</v>
      </c>
      <c r="B54" s="150" t="str">
        <f ca="1">IF(LEN(A54)=0,"",INDEX('Smelter Look-up'!$A:$A,MATCH($A54,'Smelter Look-up'!$E:$E,0)))</f>
        <v>Cobalt</v>
      </c>
      <c r="C54" s="153" t="str">
        <f ca="1">IF(LEN(A54)=0,"",INDEX('Smelter Look-up'!$C:$C,MATCH($A54,'Smelter Look-up'!$E:$E,0)))</f>
        <v>Jiangxi Miracle Golden Tiger Cobalt Co. Ltd.</v>
      </c>
      <c r="D54" s="150"/>
      <c r="E54" s="150" t="str">
        <f ca="1">IF(ISERROR($V54),"",OFFSET('Smelter Look-up'!$D$4,$V54-4,0)&amp;"")</f>
        <v>CHINA</v>
      </c>
      <c r="F54" s="150" t="str">
        <f ca="1">IF(ISERROR($V54),"",OFFSET('Smelter Look-up'!$E$4,$V54-4,0))</f>
        <v>CID004003</v>
      </c>
      <c r="G54" s="150" t="str">
        <f ca="1">IF(C54=$X$4,"Enter smelter details",IF(ISERROR($V54),"",OFFSET('Smelter Look-up'!$F$4,$V54-4,0)))</f>
        <v>RMI</v>
      </c>
      <c r="H54" s="206">
        <f ca="1">IF(ISERROR($V54),"",OFFSET('Smelter Look-up'!$G$4,$V54-4,0))</f>
        <v>0</v>
      </c>
      <c r="I54" s="207" t="str">
        <f ca="1">IF(ISERROR($V54),"",OFFSET('Smelter Look-up'!$H$4,$V54-4,0))</f>
        <v>Ganzhou City</v>
      </c>
      <c r="J54" s="207" t="str">
        <f ca="1">IF(ISERROR($V54),"",OFFSET('Smelter Look-up'!$I$4,$V54-4,0))</f>
        <v>Jiangxi Sheng</v>
      </c>
      <c r="K54" s="151"/>
      <c r="L54" s="151"/>
      <c r="M54" s="151"/>
      <c r="N54" s="151"/>
      <c r="O54" s="151"/>
      <c r="P54" s="209"/>
      <c r="Q54" s="152"/>
      <c r="R54" s="150" t="str">
        <f ca="1">IF(ISERROR($V54),"",OFFSET('Smelter Look-up'!$C$4,$V54-4,0)&amp;"")</f>
        <v>Jiangxi Miracle Golden Tiger Cobalt Co. Ltd.</v>
      </c>
      <c r="S54" s="156" t="str">
        <f t="shared" ca="1" si="0"/>
        <v>CN</v>
      </c>
      <c r="T54" s="156" t="str">
        <f ca="1">IF(B54="","",IF(ISERROR(MATCH($J54,SorP!$B$1:$B$6226,0)),"",INDIRECT("'SorP'!$A$"&amp;MATCH($S54&amp;$J54,SorP!C:C,0))))</f>
        <v>CN-JX</v>
      </c>
      <c r="U54" s="169"/>
      <c r="V54" s="170">
        <f ca="1">IF(C54="",NA(),MATCH($B54&amp;$C54,'Smelter Look-up'!$J:$J,0))</f>
        <v>59</v>
      </c>
      <c r="X54" s="171">
        <f t="shared" ca="1" si="1"/>
        <v>0</v>
      </c>
      <c r="AB54" s="171" t="str">
        <f t="shared" ca="1" si="2"/>
        <v>CobaltJiangxi Miracle Golden Tiger Cobalt Co. Ltd.</v>
      </c>
    </row>
    <row r="55" spans="1:28" s="171" customFormat="1" ht="20">
      <c r="A55" s="314" t="s">
        <v>12706</v>
      </c>
      <c r="B55" s="150" t="str">
        <f ca="1">IF(LEN(A55)=0,"",INDEX('Smelter Look-up'!$A:$A,MATCH($A55,'Smelter Look-up'!$E:$E,0)))</f>
        <v>Cobalt</v>
      </c>
      <c r="C55" s="153" t="str">
        <f ca="1">IF(LEN(A55)=0,"",INDEX('Smelter Look-up'!$C:$C,MATCH($A55,'Smelter Look-up'!$E:$E,0)))</f>
        <v>Eti Bakir A.S</v>
      </c>
      <c r="D55" s="150"/>
      <c r="E55" s="150" t="str">
        <f ca="1">IF(ISERROR($V55),"",OFFSET('Smelter Look-up'!$D$4,$V55-4,0)&amp;"")</f>
        <v>TURKEY</v>
      </c>
      <c r="F55" s="150" t="str">
        <f ca="1">IF(ISERROR($V55),"",OFFSET('Smelter Look-up'!$E$4,$V55-4,0))</f>
        <v>CID004057</v>
      </c>
      <c r="G55" s="150" t="str">
        <f ca="1">IF(C55=$X$4,"Enter smelter details",IF(ISERROR($V55),"",OFFSET('Smelter Look-up'!$F$4,$V55-4,0)))</f>
        <v>RMI</v>
      </c>
      <c r="H55" s="206">
        <f ca="1">IF(ISERROR($V55),"",OFFSET('Smelter Look-up'!$G$4,$V55-4,0))</f>
        <v>0</v>
      </c>
      <c r="I55" s="207" t="str">
        <f ca="1">IF(ISERROR($V55),"",OFFSET('Smelter Look-up'!$H$4,$V55-4,0))</f>
        <v>Mardin</v>
      </c>
      <c r="J55" s="207" t="str">
        <f ca="1">IF(ISERROR($V55),"",OFFSET('Smelter Look-up'!$I$4,$V55-4,0))</f>
        <v>Mardin</v>
      </c>
      <c r="K55" s="151"/>
      <c r="L55" s="151"/>
      <c r="M55" s="151"/>
      <c r="N55" s="151"/>
      <c r="O55" s="151"/>
      <c r="P55" s="209"/>
      <c r="Q55" s="152"/>
      <c r="R55" s="150" t="str">
        <f ca="1">IF(ISERROR($V55),"",OFFSET('Smelter Look-up'!$C$4,$V55-4,0)&amp;"")</f>
        <v>Eti Bakir A.S</v>
      </c>
      <c r="S55" s="156" t="str">
        <f t="shared" ca="1" si="0"/>
        <v>TR</v>
      </c>
      <c r="T55" s="156" t="str">
        <f ca="1">IF(B55="","",IF(ISERROR(MATCH($J55,SorP!$B$1:$B$6226,0)),"",INDIRECT("'SorP'!$A$"&amp;MATCH($S55&amp;$J55,SorP!C:C,0))))</f>
        <v>TR-47</v>
      </c>
      <c r="U55" s="169"/>
      <c r="V55" s="170">
        <f ca="1">IF(C55="",NA(),MATCH($B55&amp;$C55,'Smelter Look-up'!$J:$J,0))</f>
        <v>18</v>
      </c>
      <c r="X55" s="171">
        <f t="shared" ca="1" si="1"/>
        <v>0</v>
      </c>
      <c r="AB55" s="171" t="str">
        <f t="shared" ca="1" si="2"/>
        <v>CobaltEti Bakir A.S</v>
      </c>
    </row>
    <row r="56" spans="1:28" s="171" customFormat="1" ht="24.7">
      <c r="A56" s="314" t="s">
        <v>12710</v>
      </c>
      <c r="B56" s="150" t="str">
        <f ca="1">IF(LEN(A56)=0,"",INDEX('Smelter Look-up'!$A:$A,MATCH($A56,'Smelter Look-up'!$E:$E,0)))</f>
        <v>Cobalt</v>
      </c>
      <c r="C56" s="153" t="str">
        <f ca="1">IF(LEN(A56)=0,"",INDEX('Smelter Look-up'!$C:$C,MATCH($A56,'Smelter Look-up'!$E:$E,0)))</f>
        <v>Guizhou Red Star Electronic Material Co., Ltd.</v>
      </c>
      <c r="D56" s="150"/>
      <c r="E56" s="150" t="str">
        <f ca="1">IF(ISERROR($V56),"",OFFSET('Smelter Look-up'!$D$4,$V56-4,0)&amp;"")</f>
        <v>CHINA</v>
      </c>
      <c r="F56" s="150" t="str">
        <f ca="1">IF(ISERROR($V56),"",OFFSET('Smelter Look-up'!$E$4,$V56-4,0))</f>
        <v>CID004391</v>
      </c>
      <c r="G56" s="150" t="str">
        <f ca="1">IF(C56=$X$4,"Enter smelter details",IF(ISERROR($V56),"",OFFSET('Smelter Look-up'!$F$4,$V56-4,0)))</f>
        <v>RMI</v>
      </c>
      <c r="H56" s="206">
        <f ca="1">IF(ISERROR($V56),"",OFFSET('Smelter Look-up'!$G$4,$V56-4,0))</f>
        <v>0</v>
      </c>
      <c r="I56" s="207" t="str">
        <f ca="1">IF(ISERROR($V56),"",OFFSET('Smelter Look-up'!$H$4,$V56-4,0))</f>
        <v>Tongren</v>
      </c>
      <c r="J56" s="207" t="str">
        <f ca="1">IF(ISERROR($V56),"",OFFSET('Smelter Look-up'!$I$4,$V56-4,0))</f>
        <v>Guizhou Sheng</v>
      </c>
      <c r="K56" s="151"/>
      <c r="L56" s="151"/>
      <c r="M56" s="151"/>
      <c r="N56" s="151"/>
      <c r="O56" s="151"/>
      <c r="P56" s="209"/>
      <c r="Q56" s="152"/>
      <c r="R56" s="150" t="str">
        <f ca="1">IF(ISERROR($V56),"",OFFSET('Smelter Look-up'!$C$4,$V56-4,0)&amp;"")</f>
        <v>Guizhou Red Star Electronic Material Co., Ltd.</v>
      </c>
      <c r="S56" s="156" t="str">
        <f t="shared" ca="1" si="0"/>
        <v>CN</v>
      </c>
      <c r="T56" s="156" t="str">
        <f ca="1">IF(B56="","",IF(ISERROR(MATCH($J56,SorP!$B$1:$B$6226,0)),"",INDIRECT("'SorP'!$A$"&amp;MATCH($S56&amp;$J56,SorP!C:C,0))))</f>
        <v>CN-GZ</v>
      </c>
      <c r="U56" s="169"/>
      <c r="V56" s="170">
        <f ca="1">IF(C56="",NA(),MATCH($B56&amp;$C56,'Smelter Look-up'!$J:$J,0))</f>
        <v>37</v>
      </c>
      <c r="X56" s="171">
        <f t="shared" ca="1" si="1"/>
        <v>0</v>
      </c>
      <c r="AB56" s="171" t="str">
        <f t="shared" ca="1" si="2"/>
        <v>CobaltGuizhou Red Star Electronic Material Co., Ltd.</v>
      </c>
    </row>
    <row r="57" spans="1:28" s="171" customFormat="1" ht="24.7">
      <c r="A57" s="314" t="s">
        <v>12715</v>
      </c>
      <c r="B57" s="150" t="str">
        <f ca="1">IF(LEN(A57)=0,"",INDEX('Smelter Look-up'!$A:$A,MATCH($A57,'Smelter Look-up'!$E:$E,0)))</f>
        <v>Cobalt</v>
      </c>
      <c r="C57" s="153" t="str">
        <f ca="1">IF(LEN(A57)=0,"",INDEX('Smelter Look-up'!$C:$C,MATCH($A57,'Smelter Look-up'!$E:$E,0)))</f>
        <v>Lianyou Resources Co., Ltd.</v>
      </c>
      <c r="D57" s="150"/>
      <c r="E57" s="150" t="str">
        <f ca="1">IF(ISERROR($V57),"",OFFSET('Smelter Look-up'!$D$4,$V57-4,0)&amp;"")</f>
        <v>TAIWAN, PROVINCE OF CHINA</v>
      </c>
      <c r="F57" s="150" t="str">
        <f ca="1">IF(ISERROR($V57),"",OFFSET('Smelter Look-up'!$E$4,$V57-4,0))</f>
        <v>CID004393</v>
      </c>
      <c r="G57" s="150" t="str">
        <f ca="1">IF(C57=$X$4,"Enter smelter details",IF(ISERROR($V57),"",OFFSET('Smelter Look-up'!$F$4,$V57-4,0)))</f>
        <v>RMI</v>
      </c>
      <c r="H57" s="206">
        <f ca="1">IF(ISERROR($V57),"",OFFSET('Smelter Look-up'!$G$4,$V57-4,0))</f>
        <v>0</v>
      </c>
      <c r="I57" s="207" t="str">
        <f ca="1">IF(ISERROR($V57),"",OFFSET('Smelter Look-up'!$H$4,$V57-4,0))</f>
        <v>Wujie</v>
      </c>
      <c r="J57" s="207" t="str">
        <f ca="1">IF(ISERROR($V57),"",OFFSET('Smelter Look-up'!$I$4,$V57-4,0))</f>
        <v>Yilan</v>
      </c>
      <c r="K57" s="151"/>
      <c r="L57" s="151"/>
      <c r="M57" s="151"/>
      <c r="N57" s="151"/>
      <c r="O57" s="151"/>
      <c r="P57" s="209"/>
      <c r="Q57" s="152"/>
      <c r="R57" s="150" t="str">
        <f ca="1">IF(ISERROR($V57),"",OFFSET('Smelter Look-up'!$C$4,$V57-4,0)&amp;"")</f>
        <v>Lianyou Resources Co., Ltd.</v>
      </c>
      <c r="S57" s="156" t="str">
        <f t="shared" ca="1" si="0"/>
        <v>TW</v>
      </c>
      <c r="T57" s="156" t="str">
        <f ca="1">IF(B57="","",IF(ISERROR(MATCH($J57,SorP!$B$1:$B$6226,0)),"",INDIRECT("'SorP'!$A$"&amp;MATCH($S57&amp;$J57,SorP!C:C,0))))</f>
        <v>TW-ILA</v>
      </c>
      <c r="U57" s="169"/>
      <c r="V57" s="170">
        <f ca="1">IF(C57="",NA(),MATCH($B57&amp;$C57,'Smelter Look-up'!$J:$J,0))</f>
        <v>75</v>
      </c>
      <c r="X57" s="171">
        <f t="shared" ca="1" si="1"/>
        <v>0</v>
      </c>
      <c r="AB57" s="171" t="str">
        <f t="shared" ca="1" si="2"/>
        <v>CobaltLianyou Resources Co., Ltd.</v>
      </c>
    </row>
    <row r="58" spans="1:28" s="171" customFormat="1" ht="20">
      <c r="A58" s="314" t="s">
        <v>371</v>
      </c>
      <c r="B58" s="150" t="str">
        <f ca="1">IF(LEN(A58)=0,"",INDEX('Smelter Look-up'!$A:$A,MATCH($A58,'Smelter Look-up'!$E:$E,0)))</f>
        <v>Mica</v>
      </c>
      <c r="C58" s="153" t="str">
        <f ca="1">IF(LEN(A58)=0,"",INDEX('Smelter Look-up'!$C:$C,MATCH($A58,'Smelter Look-up'!$E:$E,0)))</f>
        <v>Yamaguchi Mica</v>
      </c>
      <c r="D58" s="150"/>
      <c r="E58" s="150" t="str">
        <f ca="1">IF(ISERROR($V58),"",OFFSET('Smelter Look-up'!$D$4,$V58-4,0)&amp;"")</f>
        <v>JAPAN</v>
      </c>
      <c r="F58" s="150" t="str">
        <f ca="1">IF(ISERROR($V58),"",OFFSET('Smelter Look-up'!$E$4,$V58-4,0))</f>
        <v>CID003512</v>
      </c>
      <c r="G58" s="150" t="str">
        <f ca="1">IF(C58=$X$4,"Enter smelter details",IF(ISERROR($V58),"",OFFSET('Smelter Look-up'!$F$4,$V58-4,0)))</f>
        <v>RMI</v>
      </c>
      <c r="H58" s="206">
        <f ca="1">IF(ISERROR($V58),"",OFFSET('Smelter Look-up'!$G$4,$V58-4,0))</f>
        <v>0</v>
      </c>
      <c r="I58" s="207" t="str">
        <f ca="1">IF(ISERROR($V58),"",OFFSET('Smelter Look-up'!$H$4,$V58-4,0))</f>
        <v>Toyokawa</v>
      </c>
      <c r="J58" s="207" t="str">
        <f ca="1">IF(ISERROR($V58),"",OFFSET('Smelter Look-up'!$I$4,$V58-4,0))</f>
        <v>Aichi</v>
      </c>
      <c r="K58" s="151"/>
      <c r="L58" s="151"/>
      <c r="M58" s="151"/>
      <c r="N58" s="151"/>
      <c r="O58" s="151"/>
      <c r="P58" s="209"/>
      <c r="Q58" s="152"/>
      <c r="R58" s="150" t="str">
        <f ca="1">IF(ISERROR($V58),"",OFFSET('Smelter Look-up'!$C$4,$V58-4,0)&amp;"")</f>
        <v>Yamaguchi Mica</v>
      </c>
      <c r="S58" s="156" t="str">
        <f t="shared" ca="1" si="0"/>
        <v>JP</v>
      </c>
      <c r="T58" s="156" t="str">
        <f ca="1">IF(B58="","",IF(ISERROR(MATCH($J58,SorP!$B$1:$B$6226,0)),"",INDIRECT("'SorP'!$A$"&amp;MATCH($S58&amp;$J58,SorP!C:C,0))))</f>
        <v>JP-23</v>
      </c>
      <c r="U58" s="169"/>
      <c r="V58" s="170">
        <f ca="1">IF(C58="",NA(),MATCH($B58&amp;$C58,'Smelter Look-up'!$J:$J,0))</f>
        <v>187</v>
      </c>
      <c r="X58" s="171">
        <f t="shared" ca="1" si="1"/>
        <v>0</v>
      </c>
      <c r="AB58" s="171" t="str">
        <f t="shared" ca="1" si="2"/>
        <v>MicaYamaguchi Mica</v>
      </c>
    </row>
    <row r="59" spans="1:28" s="171" customFormat="1" ht="20">
      <c r="A59" s="314" t="s">
        <v>354</v>
      </c>
      <c r="B59" s="150" t="str">
        <f ca="1">IF(LEN(A59)=0,"",INDEX('Smelter Look-up'!$A:$A,MATCH($A59,'Smelter Look-up'!$E:$E,0)))</f>
        <v>Mica</v>
      </c>
      <c r="C59" s="153" t="str">
        <f ca="1">IF(LEN(A59)=0,"",INDEX('Smelter Look-up'!$C:$C,MATCH($A59,'Smelter Look-up'!$E:$E,0)))</f>
        <v>Modi Mica Enterprises</v>
      </c>
      <c r="D59" s="150"/>
      <c r="E59" s="150" t="str">
        <f ca="1">IF(ISERROR($V59),"",OFFSET('Smelter Look-up'!$D$4,$V59-4,0)&amp;"")</f>
        <v>INDIA</v>
      </c>
      <c r="F59" s="150" t="str">
        <f ca="1">IF(ISERROR($V59),"",OFFSET('Smelter Look-up'!$E$4,$V59-4,0))</f>
        <v>CID003513</v>
      </c>
      <c r="G59" s="150" t="str">
        <f ca="1">IF(C59=$X$4,"Enter smelter details",IF(ISERROR($V59),"",OFFSET('Smelter Look-up'!$F$4,$V59-4,0)))</f>
        <v>RMI</v>
      </c>
      <c r="H59" s="206">
        <f ca="1">IF(ISERROR($V59),"",OFFSET('Smelter Look-up'!$G$4,$V59-4,0))</f>
        <v>0</v>
      </c>
      <c r="I59" s="207" t="str">
        <f ca="1">IF(ISERROR($V59),"",OFFSET('Smelter Look-up'!$H$4,$V59-4,0))</f>
        <v>Koderma</v>
      </c>
      <c r="J59" s="207" t="str">
        <f ca="1">IF(ISERROR($V59),"",OFFSET('Smelter Look-up'!$I$4,$V59-4,0))</f>
        <v>Jhārkhand</v>
      </c>
      <c r="K59" s="151"/>
      <c r="L59" s="151"/>
      <c r="M59" s="151"/>
      <c r="N59" s="151"/>
      <c r="O59" s="151"/>
      <c r="P59" s="209"/>
      <c r="Q59" s="152"/>
      <c r="R59" s="150" t="str">
        <f ca="1">IF(ISERROR($V59),"",OFFSET('Smelter Look-up'!$C$4,$V59-4,0)&amp;"")</f>
        <v>Modi Mica Enterprises</v>
      </c>
      <c r="S59" s="156" t="str">
        <f t="shared" ca="1" si="0"/>
        <v>IN</v>
      </c>
      <c r="T59" s="156" t="str">
        <f ca="1">IF(B59="","",IF(ISERROR(MATCH($J59,SorP!$B$1:$B$6226,0)),"",INDIRECT("'SorP'!$A$"&amp;MATCH($S59&amp;$J59,SorP!C:C,0))))</f>
        <v>IN-JH</v>
      </c>
      <c r="U59" s="169"/>
      <c r="V59" s="170">
        <f ca="1">IF(C59="",NA(),MATCH($B59&amp;$C59,'Smelter Look-up'!$J:$J,0))</f>
        <v>176</v>
      </c>
      <c r="X59" s="171">
        <f t="shared" ca="1" si="1"/>
        <v>0</v>
      </c>
      <c r="AB59" s="171" t="str">
        <f t="shared" ca="1" si="2"/>
        <v>MicaModi Mica Enterprises</v>
      </c>
    </row>
    <row r="60" spans="1:28" s="171" customFormat="1" ht="20">
      <c r="A60" s="314" t="s">
        <v>339</v>
      </c>
      <c r="B60" s="150" t="str">
        <f ca="1">IF(LEN(A60)=0,"",INDEX('Smelter Look-up'!$A:$A,MATCH($A60,'Smelter Look-up'!$E:$E,0)))</f>
        <v>Mica</v>
      </c>
      <c r="C60" s="153" t="str">
        <f ca="1">IF(LEN(A60)=0,"",INDEX('Smelter Look-up'!$C:$C,MATCH($A60,'Smelter Look-up'!$E:$E,0)))</f>
        <v>Imerys Canada, Inc.</v>
      </c>
      <c r="D60" s="150"/>
      <c r="E60" s="150" t="str">
        <f ca="1">IF(ISERROR($V60),"",OFFSET('Smelter Look-up'!$D$4,$V60-4,0)&amp;"")</f>
        <v>CANADA</v>
      </c>
      <c r="F60" s="150" t="str">
        <f ca="1">IF(ISERROR($V60),"",OFFSET('Smelter Look-up'!$E$4,$V60-4,0))</f>
        <v>CID003589</v>
      </c>
      <c r="G60" s="150" t="str">
        <f ca="1">IF(C60=$X$4,"Enter smelter details",IF(ISERROR($V60),"",OFFSET('Smelter Look-up'!$F$4,$V60-4,0)))</f>
        <v>RMI</v>
      </c>
      <c r="H60" s="206">
        <f ca="1">IF(ISERROR($V60),"",OFFSET('Smelter Look-up'!$G$4,$V60-4,0))</f>
        <v>0</v>
      </c>
      <c r="I60" s="207" t="str">
        <f ca="1">IF(ISERROR($V60),"",OFFSET('Smelter Look-up'!$H$4,$V60-4,0))</f>
        <v>Montreal</v>
      </c>
      <c r="J60" s="207" t="str">
        <f ca="1">IF(ISERROR($V60),"",OFFSET('Smelter Look-up'!$I$4,$V60-4,0))</f>
        <v>Quebec</v>
      </c>
      <c r="K60" s="151"/>
      <c r="L60" s="151"/>
      <c r="M60" s="151"/>
      <c r="N60" s="151"/>
      <c r="O60" s="151"/>
      <c r="P60" s="209"/>
      <c r="Q60" s="152"/>
      <c r="R60" s="150" t="str">
        <f ca="1">IF(ISERROR($V60),"",OFFSET('Smelter Look-up'!$C$4,$V60-4,0)&amp;"")</f>
        <v>Imerys Canada, Inc.</v>
      </c>
      <c r="S60" s="156" t="str">
        <f t="shared" ca="1" si="0"/>
        <v>CA</v>
      </c>
      <c r="T60" s="156" t="str">
        <f ca="1">IF(B60="","",IF(ISERROR(MATCH($J60,SorP!$B$1:$B$6226,0)),"",INDIRECT("'SorP'!$A$"&amp;MATCH($S60&amp;$J60,SorP!C:C,0))))</f>
        <v>CA-QC</v>
      </c>
      <c r="U60" s="169"/>
      <c r="V60" s="170">
        <f ca="1">IF(C60="",NA(),MATCH($B60&amp;$C60,'Smelter Look-up'!$J:$J,0))</f>
        <v>166</v>
      </c>
      <c r="X60" s="171">
        <f t="shared" ca="1" si="1"/>
        <v>0</v>
      </c>
      <c r="AB60" s="171" t="str">
        <f t="shared" ca="1" si="2"/>
        <v>MicaImerys Canada, Inc.</v>
      </c>
    </row>
    <row r="61" spans="1:28" s="171" customFormat="1" ht="24.7">
      <c r="A61" s="314" t="s">
        <v>360</v>
      </c>
      <c r="B61" s="150" t="str">
        <f ca="1">IF(LEN(A61)=0,"",INDEX('Smelter Look-up'!$A:$A,MATCH($A61,'Smelter Look-up'!$E:$E,0)))</f>
        <v>Mica</v>
      </c>
      <c r="C61" s="153" t="str">
        <f ca="1">IF(LEN(A61)=0,"",INDEX('Smelter Look-up'!$C:$C,MATCH($A61,'Smelter Look-up'!$E:$E,0)))</f>
        <v>Southeastern Performance Minerals, LLC</v>
      </c>
      <c r="D61" s="150"/>
      <c r="E61" s="150" t="str">
        <f ca="1">IF(ISERROR($V61),"",OFFSET('Smelter Look-up'!$D$4,$V61-4,0)&amp;"")</f>
        <v>UNITED STATES OF AMERICA</v>
      </c>
      <c r="F61" s="150" t="str">
        <f ca="1">IF(ISERROR($V61),"",OFFSET('Smelter Look-up'!$E$4,$V61-4,0))</f>
        <v>CID003590</v>
      </c>
      <c r="G61" s="150" t="str">
        <f ca="1">IF(C61=$X$4,"Enter smelter details",IF(ISERROR($V61),"",OFFSET('Smelter Look-up'!$F$4,$V61-4,0)))</f>
        <v>RMI</v>
      </c>
      <c r="H61" s="206">
        <f ca="1">IF(ISERROR($V61),"",OFFSET('Smelter Look-up'!$G$4,$V61-4,0))</f>
        <v>0</v>
      </c>
      <c r="I61" s="207" t="str">
        <f ca="1">IF(ISERROR($V61),"",OFFSET('Smelter Look-up'!$H$4,$V61-4,0))</f>
        <v>Sandersville</v>
      </c>
      <c r="J61" s="207" t="str">
        <f ca="1">IF(ISERROR($V61),"",OFFSET('Smelter Look-up'!$I$4,$V61-4,0))</f>
        <v>Georgia</v>
      </c>
      <c r="K61" s="151"/>
      <c r="L61" s="151"/>
      <c r="M61" s="151"/>
      <c r="N61" s="151"/>
      <c r="O61" s="151"/>
      <c r="P61" s="209"/>
      <c r="Q61" s="152"/>
      <c r="R61" s="150" t="str">
        <f ca="1">IF(ISERROR($V61),"",OFFSET('Smelter Look-up'!$C$4,$V61-4,0)&amp;"")</f>
        <v>Southeastern Performance Minerals, LLC</v>
      </c>
      <c r="S61" s="156" t="str">
        <f t="shared" ca="1" si="0"/>
        <v>US</v>
      </c>
      <c r="T61" s="156" t="str">
        <f ca="1">IF(B61="","",IF(ISERROR(MATCH($J61,SorP!$B$1:$B$6226,0)),"",INDIRECT("'SorP'!$A$"&amp;MATCH($S61&amp;$J61,SorP!C:C,0))))</f>
        <v>US-GA</v>
      </c>
      <c r="U61" s="169"/>
      <c r="V61" s="170">
        <f ca="1">IF(C61="",NA(),MATCH($B61&amp;$C61,'Smelter Look-up'!$J:$J,0))</f>
        <v>179</v>
      </c>
      <c r="X61" s="171">
        <f t="shared" ca="1" si="1"/>
        <v>0</v>
      </c>
      <c r="AB61" s="171" t="str">
        <f t="shared" ca="1" si="2"/>
        <v>MicaSoutheastern Performance Minerals, LLC</v>
      </c>
    </row>
    <row r="62" spans="1:28" s="171" customFormat="1" ht="24.7">
      <c r="A62" s="314" t="s">
        <v>343</v>
      </c>
      <c r="B62" s="150" t="str">
        <f ca="1">IF(LEN(A62)=0,"",INDEX('Smelter Look-up'!$A:$A,MATCH($A62,'Smelter Look-up'!$E:$E,0)))</f>
        <v>Mica</v>
      </c>
      <c r="C62" s="153" t="str">
        <f ca="1">IF(LEN(A62)=0,"",INDEX('Smelter Look-up'!$C:$C,MATCH($A62,'Smelter Look-up'!$E:$E,0)))</f>
        <v>Imerys Mica Kings Mountain, Inc.</v>
      </c>
      <c r="D62" s="150"/>
      <c r="E62" s="150" t="str">
        <f ca="1">IF(ISERROR($V62),"",OFFSET('Smelter Look-up'!$D$4,$V62-4,0)&amp;"")</f>
        <v>UNITED STATES OF AMERICA</v>
      </c>
      <c r="F62" s="150" t="str">
        <f ca="1">IF(ISERROR($V62),"",OFFSET('Smelter Look-up'!$E$4,$V62-4,0))</f>
        <v>CID003591</v>
      </c>
      <c r="G62" s="150" t="str">
        <f ca="1">IF(C62=$X$4,"Enter smelter details",IF(ISERROR($V62),"",OFFSET('Smelter Look-up'!$F$4,$V62-4,0)))</f>
        <v>RMI</v>
      </c>
      <c r="H62" s="206">
        <f ca="1">IF(ISERROR($V62),"",OFFSET('Smelter Look-up'!$G$4,$V62-4,0))</f>
        <v>0</v>
      </c>
      <c r="I62" s="207" t="str">
        <f ca="1">IF(ISERROR($V62),"",OFFSET('Smelter Look-up'!$H$4,$V62-4,0))</f>
        <v>Kings Mountain</v>
      </c>
      <c r="J62" s="207" t="str">
        <f ca="1">IF(ISERROR($V62),"",OFFSET('Smelter Look-up'!$I$4,$V62-4,0))</f>
        <v>North Carolina</v>
      </c>
      <c r="K62" s="151"/>
      <c r="L62" s="151"/>
      <c r="M62" s="151"/>
      <c r="N62" s="151"/>
      <c r="O62" s="151"/>
      <c r="P62" s="209"/>
      <c r="Q62" s="152"/>
      <c r="R62" s="150" t="str">
        <f ca="1">IF(ISERROR($V62),"",OFFSET('Smelter Look-up'!$C$4,$V62-4,0)&amp;"")</f>
        <v>Imerys Mica Kings Mountain, Inc.</v>
      </c>
      <c r="S62" s="156" t="str">
        <f t="shared" ca="1" si="0"/>
        <v>US</v>
      </c>
      <c r="T62" s="156" t="str">
        <f ca="1">IF(B62="","",IF(ISERROR(MATCH($J62,SorP!$B$1:$B$6226,0)),"",INDIRECT("'SorP'!$A$"&amp;MATCH($S62&amp;$J62,SorP!C:C,0))))</f>
        <v>US-NC</v>
      </c>
      <c r="U62" s="169"/>
      <c r="V62" s="170">
        <f ca="1">IF(C62="",NA(),MATCH($B62&amp;$C62,'Smelter Look-up'!$J:$J,0))</f>
        <v>167</v>
      </c>
      <c r="X62" s="171">
        <f t="shared" ca="1" si="1"/>
        <v>0</v>
      </c>
      <c r="AB62" s="171" t="str">
        <f t="shared" ca="1" si="2"/>
        <v>MicaImerys Mica Kings Mountain, Inc.</v>
      </c>
    </row>
    <row r="63" spans="1:28" s="171" customFormat="1" ht="24.7">
      <c r="A63" s="314" t="s">
        <v>324</v>
      </c>
      <c r="B63" s="150" t="str">
        <f ca="1">IF(LEN(A63)=0,"",INDEX('Smelter Look-up'!$A:$A,MATCH($A63,'Smelter Look-up'!$E:$E,0)))</f>
        <v>Mica</v>
      </c>
      <c r="C63" s="153" t="str">
        <f ca="1">IF(LEN(A63)=0,"",INDEX('Smelter Look-up'!$C:$C,MATCH($A63,'Smelter Look-up'!$E:$E,0)))</f>
        <v>Arctic Minerals, LLC</v>
      </c>
      <c r="D63" s="150"/>
      <c r="E63" s="150" t="str">
        <f ca="1">IF(ISERROR($V63),"",OFFSET('Smelter Look-up'!$D$4,$V63-4,0)&amp;"")</f>
        <v>UNITED STATES OF AMERICA</v>
      </c>
      <c r="F63" s="150" t="str">
        <f ca="1">IF(ISERROR($V63),"",OFFSET('Smelter Look-up'!$E$4,$V63-4,0))</f>
        <v>CID003592</v>
      </c>
      <c r="G63" s="150" t="str">
        <f ca="1">IF(C63=$X$4,"Enter smelter details",IF(ISERROR($V63),"",OFFSET('Smelter Look-up'!$F$4,$V63-4,0)))</f>
        <v>RMI</v>
      </c>
      <c r="H63" s="206">
        <f ca="1">IF(ISERROR($V63),"",OFFSET('Smelter Look-up'!$G$4,$V63-4,0))</f>
        <v>0</v>
      </c>
      <c r="I63" s="207" t="str">
        <f ca="1">IF(ISERROR($V63),"",OFFSET('Smelter Look-up'!$H$4,$V63-4,0))</f>
        <v>Jeffersonville</v>
      </c>
      <c r="J63" s="207" t="str">
        <f ca="1">IF(ISERROR($V63),"",OFFSET('Smelter Look-up'!$I$4,$V63-4,0))</f>
        <v>Indiana</v>
      </c>
      <c r="K63" s="151"/>
      <c r="L63" s="151"/>
      <c r="M63" s="151"/>
      <c r="N63" s="151"/>
      <c r="O63" s="151"/>
      <c r="P63" s="209"/>
      <c r="Q63" s="152"/>
      <c r="R63" s="150" t="str">
        <f ca="1">IF(ISERROR($V63),"",OFFSET('Smelter Look-up'!$C$4,$V63-4,0)&amp;"")</f>
        <v>Arctic Minerals, LLC</v>
      </c>
      <c r="S63" s="156" t="str">
        <f t="shared" ca="1" si="0"/>
        <v>US</v>
      </c>
      <c r="T63" s="156" t="str">
        <f ca="1">IF(B63="","",IF(ISERROR(MATCH($J63,SorP!$B$1:$B$6226,0)),"",INDIRECT("'SorP'!$A$"&amp;MATCH($S63&amp;$J63,SorP!C:C,0))))</f>
        <v>US-IN</v>
      </c>
      <c r="U63" s="169"/>
      <c r="V63" s="170">
        <f ca="1">IF(C63="",NA(),MATCH($B63&amp;$C63,'Smelter Look-up'!$J:$J,0))</f>
        <v>157</v>
      </c>
      <c r="X63" s="171">
        <f t="shared" ref="X63:X126" ca="1" si="3">IF(AND(C63="Smelter not listed",OR(LEN(D63)=0,LEN(E63)=0)),1,0)</f>
        <v>0</v>
      </c>
      <c r="AB63" s="171" t="str">
        <f t="shared" ref="AB63:AB126" ca="1" si="4">B63&amp;C63</f>
        <v>MicaArctic Minerals, LLC</v>
      </c>
    </row>
    <row r="64" spans="1:28" s="171" customFormat="1" ht="20">
      <c r="A64" s="314" t="s">
        <v>366</v>
      </c>
      <c r="B64" s="150" t="str">
        <f ca="1">IF(LEN(A64)=0,"",INDEX('Smelter Look-up'!$A:$A,MATCH($A64,'Smelter Look-up'!$E:$E,0)))</f>
        <v>Mica</v>
      </c>
      <c r="C64" s="153" t="str">
        <f ca="1">IF(LEN(A64)=0,"",INDEX('Smelter Look-up'!$C:$C,MATCH($A64,'Smelter Look-up'!$E:$E,0)))</f>
        <v>VON ROLL BRAZIL LTDA</v>
      </c>
      <c r="D64" s="150"/>
      <c r="E64" s="150" t="str">
        <f ca="1">IF(ISERROR($V64),"",OFFSET('Smelter Look-up'!$D$4,$V64-4,0)&amp;"")</f>
        <v>BRAZIL</v>
      </c>
      <c r="F64" s="150" t="str">
        <f ca="1">IF(ISERROR($V64),"",OFFSET('Smelter Look-up'!$E$4,$V64-4,0))</f>
        <v>CID003593</v>
      </c>
      <c r="G64" s="150" t="str">
        <f ca="1">IF(C64=$X$4,"Enter smelter details",IF(ISERROR($V64),"",OFFSET('Smelter Look-up'!$F$4,$V64-4,0)))</f>
        <v>RMI</v>
      </c>
      <c r="H64" s="206">
        <f ca="1">IF(ISERROR($V64),"",OFFSET('Smelter Look-up'!$G$4,$V64-4,0))</f>
        <v>0</v>
      </c>
      <c r="I64" s="207" t="str">
        <f ca="1">IF(ISERROR($V64),"",OFFSET('Smelter Look-up'!$H$4,$V64-4,0))</f>
        <v>Maracanaú</v>
      </c>
      <c r="J64" s="207" t="str">
        <f ca="1">IF(ISERROR($V64),"",OFFSET('Smelter Look-up'!$I$4,$V64-4,0))</f>
        <v>Ceará</v>
      </c>
      <c r="K64" s="151"/>
      <c r="L64" s="151"/>
      <c r="M64" s="151"/>
      <c r="N64" s="151"/>
      <c r="O64" s="151"/>
      <c r="P64" s="209"/>
      <c r="Q64" s="152"/>
      <c r="R64" s="150" t="str">
        <f ca="1">IF(ISERROR($V64),"",OFFSET('Smelter Look-up'!$C$4,$V64-4,0)&amp;"")</f>
        <v>VON ROLL BRAZIL LTDA</v>
      </c>
      <c r="S64" s="156" t="str">
        <f t="shared" ref="S64:S127" ca="1" si="5">IF(B64="","",IF(ISERROR(MATCH($E64,CL,0)),"Unknown",INDIRECT("'C'!$A$"&amp;MATCH($E64,CL,0)+1)))</f>
        <v>BR</v>
      </c>
      <c r="T64" s="156" t="str">
        <f ca="1">IF(B64="","",IF(ISERROR(MATCH($J64,SorP!$B$1:$B$6226,0)),"",INDIRECT("'SorP'!$A$"&amp;MATCH($S64&amp;$J64,SorP!C:C,0))))</f>
        <v>BR-CE</v>
      </c>
      <c r="U64" s="169"/>
      <c r="V64" s="170">
        <f ca="1">IF(C64="",NA(),MATCH($B64&amp;$C64,'Smelter Look-up'!$J:$J,0))</f>
        <v>185</v>
      </c>
      <c r="X64" s="171">
        <f t="shared" ca="1" si="3"/>
        <v>0</v>
      </c>
      <c r="AB64" s="171" t="str">
        <f t="shared" ca="1" si="4"/>
        <v>MicaVON ROLL BRAZIL LTDA</v>
      </c>
    </row>
    <row r="65" spans="1:28" s="171" customFormat="1" ht="20">
      <c r="A65" s="314" t="s">
        <v>358</v>
      </c>
      <c r="B65" s="150" t="str">
        <f ca="1">IF(LEN(A65)=0,"",INDEX('Smelter Look-up'!$A:$A,MATCH($A65,'Smelter Look-up'!$E:$E,0)))</f>
        <v>Mica</v>
      </c>
      <c r="C65" s="153" t="str">
        <f ca="1">IF(LEN(A65)=0,"",INDEX('Smelter Look-up'!$C:$C,MATCH($A65,'Smelter Look-up'!$E:$E,0)))</f>
        <v>Pachisia &amp; Co.</v>
      </c>
      <c r="D65" s="150"/>
      <c r="E65" s="150" t="str">
        <f ca="1">IF(ISERROR($V65),"",OFFSET('Smelter Look-up'!$D$4,$V65-4,0)&amp;"")</f>
        <v>INDIA</v>
      </c>
      <c r="F65" s="150" t="str">
        <f ca="1">IF(ISERROR($V65),"",OFFSET('Smelter Look-up'!$E$4,$V65-4,0))</f>
        <v>CID003599</v>
      </c>
      <c r="G65" s="150" t="str">
        <f ca="1">IF(C65=$X$4,"Enter smelter details",IF(ISERROR($V65),"",OFFSET('Smelter Look-up'!$F$4,$V65-4,0)))</f>
        <v>RMI</v>
      </c>
      <c r="H65" s="206">
        <f ca="1">IF(ISERROR($V65),"",OFFSET('Smelter Look-up'!$G$4,$V65-4,0))</f>
        <v>0</v>
      </c>
      <c r="I65" s="207" t="str">
        <f ca="1">IF(ISERROR($V65),"",OFFSET('Smelter Look-up'!$H$4,$V65-4,0))</f>
        <v>Koderma</v>
      </c>
      <c r="J65" s="207" t="str">
        <f ca="1">IF(ISERROR($V65),"",OFFSET('Smelter Look-up'!$I$4,$V65-4,0))</f>
        <v>Jhārkhand</v>
      </c>
      <c r="K65" s="151"/>
      <c r="L65" s="151"/>
      <c r="M65" s="151"/>
      <c r="N65" s="151"/>
      <c r="O65" s="151"/>
      <c r="P65" s="209"/>
      <c r="Q65" s="152"/>
      <c r="R65" s="150" t="str">
        <f ca="1">IF(ISERROR($V65),"",OFFSET('Smelter Look-up'!$C$4,$V65-4,0)&amp;"")</f>
        <v>Pachisia &amp; Co.</v>
      </c>
      <c r="S65" s="156" t="str">
        <f t="shared" ca="1" si="5"/>
        <v>IN</v>
      </c>
      <c r="T65" s="156" t="str">
        <f ca="1">IF(B65="","",IF(ISERROR(MATCH($J65,SorP!$B$1:$B$6226,0)),"",INDIRECT("'SorP'!$A$"&amp;MATCH($S65&amp;$J65,SorP!C:C,0))))</f>
        <v>IN-JH</v>
      </c>
      <c r="U65" s="169"/>
      <c r="V65" s="170">
        <f ca="1">IF(C65="",NA(),MATCH($B65&amp;$C65,'Smelter Look-up'!$J:$J,0))</f>
        <v>178</v>
      </c>
      <c r="X65" s="171">
        <f t="shared" ca="1" si="3"/>
        <v>0</v>
      </c>
      <c r="AB65" s="171" t="str">
        <f t="shared" ca="1" si="4"/>
        <v>MicaPachisia &amp; Co.</v>
      </c>
    </row>
    <row r="66" spans="1:28" s="171" customFormat="1" ht="20">
      <c r="A66" s="314" t="s">
        <v>329</v>
      </c>
      <c r="B66" s="150" t="str">
        <f ca="1">IF(LEN(A66)=0,"",INDEX('Smelter Look-up'!$A:$A,MATCH($A66,'Smelter Look-up'!$E:$E,0)))</f>
        <v>Mica</v>
      </c>
      <c r="C66" s="153" t="str">
        <f ca="1">IF(LEN(A66)=0,"",INDEX('Smelter Look-up'!$C:$C,MATCH($A66,'Smelter Look-up'!$E:$E,0)))</f>
        <v>DARUKA INTERNATIONAL</v>
      </c>
      <c r="D66" s="150"/>
      <c r="E66" s="150" t="str">
        <f ca="1">IF(ISERROR($V66),"",OFFSET('Smelter Look-up'!$D$4,$V66-4,0)&amp;"")</f>
        <v>INDIA</v>
      </c>
      <c r="F66" s="150" t="str">
        <f ca="1">IF(ISERROR($V66),"",OFFSET('Smelter Look-up'!$E$4,$V66-4,0))</f>
        <v>CID003621</v>
      </c>
      <c r="G66" s="150" t="str">
        <f ca="1">IF(C66=$X$4,"Enter smelter details",IF(ISERROR($V66),"",OFFSET('Smelter Look-up'!$F$4,$V66-4,0)))</f>
        <v>RMI</v>
      </c>
      <c r="H66" s="206">
        <f ca="1">IF(ISERROR($V66),"",OFFSET('Smelter Look-up'!$G$4,$V66-4,0))</f>
        <v>0</v>
      </c>
      <c r="I66" s="207" t="str">
        <f ca="1">IF(ISERROR($V66),"",OFFSET('Smelter Look-up'!$H$4,$V66-4,0))</f>
        <v>Pune</v>
      </c>
      <c r="J66" s="207" t="str">
        <f ca="1">IF(ISERROR($V66),"",OFFSET('Smelter Look-up'!$I$4,$V66-4,0))</f>
        <v>Mahārāshtra</v>
      </c>
      <c r="K66" s="151"/>
      <c r="L66" s="151"/>
      <c r="M66" s="151"/>
      <c r="N66" s="151"/>
      <c r="O66" s="151"/>
      <c r="P66" s="209"/>
      <c r="Q66" s="152"/>
      <c r="R66" s="150" t="str">
        <f ca="1">IF(ISERROR($V66),"",OFFSET('Smelter Look-up'!$C$4,$V66-4,0)&amp;"")</f>
        <v>DARUKA INTERNATIONAL</v>
      </c>
      <c r="S66" s="156" t="str">
        <f t="shared" ca="1" si="5"/>
        <v>IN</v>
      </c>
      <c r="T66" s="156" t="str">
        <f ca="1">IF(B66="","",IF(ISERROR(MATCH($J66,SorP!$B$1:$B$6226,0)),"",INDIRECT("'SorP'!$A$"&amp;MATCH($S66&amp;$J66,SorP!C:C,0))))</f>
        <v>IN-MH</v>
      </c>
      <c r="U66" s="169"/>
      <c r="V66" s="170">
        <f ca="1">IF(C66="",NA(),MATCH($B66&amp;$C66,'Smelter Look-up'!$J:$J,0))</f>
        <v>160</v>
      </c>
      <c r="X66" s="171">
        <f t="shared" ca="1" si="3"/>
        <v>0</v>
      </c>
      <c r="AB66" s="171" t="str">
        <f t="shared" ca="1" si="4"/>
        <v>MicaDARUKA INTERNATIONAL</v>
      </c>
    </row>
    <row r="67" spans="1:28" s="171" customFormat="1" ht="20">
      <c r="A67" s="314" t="s">
        <v>335</v>
      </c>
      <c r="B67" s="150" t="str">
        <f ca="1">IF(LEN(A67)=0,"",INDEX('Smelter Look-up'!$A:$A,MATCH($A67,'Smelter Look-up'!$E:$E,0)))</f>
        <v>Mica</v>
      </c>
      <c r="C67" s="153" t="str">
        <f ca="1">IF(LEN(A67)=0,"",INDEX('Smelter Look-up'!$C:$C,MATCH($A67,'Smelter Look-up'!$E:$E,0)))</f>
        <v>G. K. INTERNATIONAL</v>
      </c>
      <c r="D67" s="150"/>
      <c r="E67" s="150" t="str">
        <f ca="1">IF(ISERROR($V67),"",OFFSET('Smelter Look-up'!$D$4,$V67-4,0)&amp;"")</f>
        <v>INDIA</v>
      </c>
      <c r="F67" s="150" t="str">
        <f ca="1">IF(ISERROR($V67),"",OFFSET('Smelter Look-up'!$E$4,$V67-4,0))</f>
        <v>CID003623</v>
      </c>
      <c r="G67" s="150" t="str">
        <f ca="1">IF(C67=$X$4,"Enter smelter details",IF(ISERROR($V67),"",OFFSET('Smelter Look-up'!$F$4,$V67-4,0)))</f>
        <v>RMI</v>
      </c>
      <c r="H67" s="206">
        <f ca="1">IF(ISERROR($V67),"",OFFSET('Smelter Look-up'!$G$4,$V67-4,0))</f>
        <v>0</v>
      </c>
      <c r="I67" s="207" t="str">
        <f ca="1">IF(ISERROR($V67),"",OFFSET('Smelter Look-up'!$H$4,$V67-4,0))</f>
        <v>Kolkata</v>
      </c>
      <c r="J67" s="207" t="str">
        <f ca="1">IF(ISERROR($V67),"",OFFSET('Smelter Look-up'!$I$4,$V67-4,0))</f>
        <v>West Bengal</v>
      </c>
      <c r="K67" s="151"/>
      <c r="L67" s="151"/>
      <c r="M67" s="151"/>
      <c r="N67" s="151"/>
      <c r="O67" s="151"/>
      <c r="P67" s="209"/>
      <c r="Q67" s="152"/>
      <c r="R67" s="150" t="str">
        <f ca="1">IF(ISERROR($V67),"",OFFSET('Smelter Look-up'!$C$4,$V67-4,0)&amp;"")</f>
        <v>G. K. INTERNATIONAL</v>
      </c>
      <c r="S67" s="156" t="str">
        <f t="shared" ca="1" si="5"/>
        <v>IN</v>
      </c>
      <c r="T67" s="156" t="str">
        <f ca="1">IF(B67="","",IF(ISERROR(MATCH($J67,SorP!$B$1:$B$6226,0)),"",INDIRECT("'SorP'!$A$"&amp;MATCH($S67&amp;$J67,SorP!C:C,0))))</f>
        <v>IN-WB</v>
      </c>
      <c r="U67" s="169"/>
      <c r="V67" s="170">
        <f ca="1">IF(C67="",NA(),MATCH($B67&amp;$C67,'Smelter Look-up'!$J:$J,0))</f>
        <v>163</v>
      </c>
      <c r="X67" s="171">
        <f t="shared" ca="1" si="3"/>
        <v>0</v>
      </c>
      <c r="AB67" s="171" t="str">
        <f t="shared" ca="1" si="4"/>
        <v>MicaG. K. INTERNATIONAL</v>
      </c>
    </row>
    <row r="68" spans="1:28" s="171" customFormat="1" ht="20">
      <c r="A68" s="314" t="s">
        <v>351</v>
      </c>
      <c r="B68" s="150" t="str">
        <f ca="1">IF(LEN(A68)=0,"",INDEX('Smelter Look-up'!$A:$A,MATCH($A68,'Smelter Look-up'!$E:$E,0)))</f>
        <v>Mica</v>
      </c>
      <c r="C68" s="153" t="str">
        <f ca="1">IF(LEN(A68)=0,"",INDEX('Smelter Look-up'!$C:$C,MATCH($A68,'Smelter Look-up'!$E:$E,0)))</f>
        <v>LAXIM MINERALS CORPORATION</v>
      </c>
      <c r="D68" s="150"/>
      <c r="E68" s="150" t="str">
        <f ca="1">IF(ISERROR($V68),"",OFFSET('Smelter Look-up'!$D$4,$V68-4,0)&amp;"")</f>
        <v>INDIA</v>
      </c>
      <c r="F68" s="150" t="str">
        <f ca="1">IF(ISERROR($V68),"",OFFSET('Smelter Look-up'!$E$4,$V68-4,0))</f>
        <v>CID003624</v>
      </c>
      <c r="G68" s="150" t="str">
        <f ca="1">IF(C68=$X$4,"Enter smelter details",IF(ISERROR($V68),"",OFFSET('Smelter Look-up'!$F$4,$V68-4,0)))</f>
        <v>RMI</v>
      </c>
      <c r="H68" s="206">
        <f ca="1">IF(ISERROR($V68),"",OFFSET('Smelter Look-up'!$G$4,$V68-4,0))</f>
        <v>0</v>
      </c>
      <c r="I68" s="207" t="str">
        <f ca="1">IF(ISERROR($V68),"",OFFSET('Smelter Look-up'!$H$4,$V68-4,0))</f>
        <v>Koderma</v>
      </c>
      <c r="J68" s="207" t="str">
        <f ca="1">IF(ISERROR($V68),"",OFFSET('Smelter Look-up'!$I$4,$V68-4,0))</f>
        <v>Jhārkhand</v>
      </c>
      <c r="K68" s="151"/>
      <c r="L68" s="151"/>
      <c r="M68" s="151"/>
      <c r="N68" s="151"/>
      <c r="O68" s="151"/>
      <c r="P68" s="209"/>
      <c r="Q68" s="152"/>
      <c r="R68" s="150" t="str">
        <f ca="1">IF(ISERROR($V68),"",OFFSET('Smelter Look-up'!$C$4,$V68-4,0)&amp;"")</f>
        <v>LAXIM MINERALS CORPORATION</v>
      </c>
      <c r="S68" s="156" t="str">
        <f t="shared" ca="1" si="5"/>
        <v>IN</v>
      </c>
      <c r="T68" s="156" t="str">
        <f ca="1">IF(B68="","",IF(ISERROR(MATCH($J68,SorP!$B$1:$B$6226,0)),"",INDIRECT("'SorP'!$A$"&amp;MATCH($S68&amp;$J68,SorP!C:C,0))))</f>
        <v>IN-JH</v>
      </c>
      <c r="U68" s="169"/>
      <c r="V68" s="170">
        <f ca="1">IF(C68="",NA(),MATCH($B68&amp;$C68,'Smelter Look-up'!$J:$J,0))</f>
        <v>170</v>
      </c>
      <c r="X68" s="171">
        <f t="shared" ca="1" si="3"/>
        <v>0</v>
      </c>
      <c r="AB68" s="171" t="str">
        <f t="shared" ca="1" si="4"/>
        <v>MicaLAXIM MINERALS CORPORATION</v>
      </c>
    </row>
    <row r="69" spans="1:28" s="171" customFormat="1" ht="20">
      <c r="A69" s="314" t="s">
        <v>332</v>
      </c>
      <c r="B69" s="150" t="str">
        <f ca="1">IF(LEN(A69)=0,"",INDEX('Smelter Look-up'!$A:$A,MATCH($A69,'Smelter Look-up'!$E:$E,0)))</f>
        <v>Mica</v>
      </c>
      <c r="C69" s="153" t="str">
        <f ca="1">IF(LEN(A69)=0,"",INDEX('Smelter Look-up'!$C:$C,MATCH($A69,'Smelter Look-up'!$E:$E,0)))</f>
        <v>DARUKA MINERALS</v>
      </c>
      <c r="D69" s="150"/>
      <c r="E69" s="150" t="str">
        <f ca="1">IF(ISERROR($V69),"",OFFSET('Smelter Look-up'!$D$4,$V69-4,0)&amp;"")</f>
        <v>INDIA</v>
      </c>
      <c r="F69" s="150" t="str">
        <f ca="1">IF(ISERROR($V69),"",OFFSET('Smelter Look-up'!$E$4,$V69-4,0))</f>
        <v>CID003626</v>
      </c>
      <c r="G69" s="150" t="str">
        <f ca="1">IF(C69=$X$4,"Enter smelter details",IF(ISERROR($V69),"",OFFSET('Smelter Look-up'!$F$4,$V69-4,0)))</f>
        <v>RMI</v>
      </c>
      <c r="H69" s="206">
        <f ca="1">IF(ISERROR($V69),"",OFFSET('Smelter Look-up'!$G$4,$V69-4,0))</f>
        <v>0</v>
      </c>
      <c r="I69" s="207" t="str">
        <f ca="1">IF(ISERROR($V69),"",OFFSET('Smelter Look-up'!$H$4,$V69-4,0))</f>
        <v>Koderma</v>
      </c>
      <c r="J69" s="207" t="str">
        <f ca="1">IF(ISERROR($V69),"",OFFSET('Smelter Look-up'!$I$4,$V69-4,0))</f>
        <v>Jhārkhand</v>
      </c>
      <c r="K69" s="151"/>
      <c r="L69" s="151"/>
      <c r="M69" s="151"/>
      <c r="N69" s="151"/>
      <c r="O69" s="151"/>
      <c r="P69" s="209"/>
      <c r="Q69" s="152"/>
      <c r="R69" s="150" t="str">
        <f ca="1">IF(ISERROR($V69),"",OFFSET('Smelter Look-up'!$C$4,$V69-4,0)&amp;"")</f>
        <v>DARUKA MINERALS</v>
      </c>
      <c r="S69" s="156" t="str">
        <f t="shared" ca="1" si="5"/>
        <v>IN</v>
      </c>
      <c r="T69" s="156" t="str">
        <f ca="1">IF(B69="","",IF(ISERROR(MATCH($J69,SorP!$B$1:$B$6226,0)),"",INDIRECT("'SorP'!$A$"&amp;MATCH($S69&amp;$J69,SorP!C:C,0))))</f>
        <v>IN-JH</v>
      </c>
      <c r="U69" s="169"/>
      <c r="V69" s="170">
        <f ca="1">IF(C69="",NA(),MATCH($B69&amp;$C69,'Smelter Look-up'!$J:$J,0))</f>
        <v>162</v>
      </c>
      <c r="X69" s="171">
        <f t="shared" ca="1" si="3"/>
        <v>0</v>
      </c>
      <c r="AB69" s="171" t="str">
        <f t="shared" ca="1" si="4"/>
        <v>MicaDARUKA MINERALS</v>
      </c>
    </row>
    <row r="70" spans="1:28" s="171" customFormat="1" ht="20">
      <c r="A70" s="314" t="s">
        <v>12568</v>
      </c>
      <c r="B70" s="150" t="str">
        <f ca="1">IF(LEN(A70)=0,"",INDEX('Smelter Look-up'!$A:$A,MATCH($A70,'Smelter Look-up'!$E:$E,0)))</f>
        <v>Mica</v>
      </c>
      <c r="C70" s="153" t="str">
        <f ca="1">IF(LEN(A70)=0,"",INDEX('Smelter Look-up'!$C:$C,MATCH($A70,'Smelter Look-up'!$E:$E,0)))</f>
        <v>SUBLIME MICA EXPORTS</v>
      </c>
      <c r="D70" s="150"/>
      <c r="E70" s="150" t="str">
        <f ca="1">IF(ISERROR($V70),"",OFFSET('Smelter Look-up'!$D$4,$V70-4,0)&amp;"")</f>
        <v>INDIA</v>
      </c>
      <c r="F70" s="150" t="str">
        <f ca="1">IF(ISERROR($V70),"",OFFSET('Smelter Look-up'!$E$4,$V70-4,0))</f>
        <v>CID003629</v>
      </c>
      <c r="G70" s="150" t="str">
        <f ca="1">IF(C70=$X$4,"Enter smelter details",IF(ISERROR($V70),"",OFFSET('Smelter Look-up'!$F$4,$V70-4,0)))</f>
        <v>RMI</v>
      </c>
      <c r="H70" s="206">
        <f ca="1">IF(ISERROR($V70),"",OFFSET('Smelter Look-up'!$G$4,$V70-4,0))</f>
        <v>0</v>
      </c>
      <c r="I70" s="207" t="str">
        <f ca="1">IF(ISERROR($V70),"",OFFSET('Smelter Look-up'!$H$4,$V70-4,0))</f>
        <v>Gudur</v>
      </c>
      <c r="J70" s="207" t="str">
        <f ca="1">IF(ISERROR($V70),"",OFFSET('Smelter Look-up'!$I$4,$V70-4,0))</f>
        <v>Andhra Pradesh</v>
      </c>
      <c r="K70" s="151"/>
      <c r="L70" s="151"/>
      <c r="M70" s="151"/>
      <c r="N70" s="151"/>
      <c r="O70" s="151"/>
      <c r="P70" s="209"/>
      <c r="Q70" s="152"/>
      <c r="R70" s="150" t="str">
        <f ca="1">IF(ISERROR($V70),"",OFFSET('Smelter Look-up'!$C$4,$V70-4,0)&amp;"")</f>
        <v>SUBLIME MICA EXPORTS</v>
      </c>
      <c r="S70" s="156" t="str">
        <f t="shared" ca="1" si="5"/>
        <v>IN</v>
      </c>
      <c r="T70" s="156" t="str">
        <f ca="1">IF(B70="","",IF(ISERROR(MATCH($J70,SorP!$B$1:$B$6226,0)),"",INDIRECT("'SorP'!$A$"&amp;MATCH($S70&amp;$J70,SorP!C:C,0))))</f>
        <v>IN-AP</v>
      </c>
      <c r="U70" s="169"/>
      <c r="V70" s="170">
        <f ca="1">IF(C70="",NA(),MATCH($B70&amp;$C70,'Smelter Look-up'!$J:$J,0))</f>
        <v>180</v>
      </c>
      <c r="X70" s="171">
        <f t="shared" ca="1" si="3"/>
        <v>0</v>
      </c>
      <c r="AB70" s="171" t="str">
        <f t="shared" ca="1" si="4"/>
        <v>MicaSUBLIME MICA EXPORTS</v>
      </c>
    </row>
    <row r="71" spans="1:28" s="171" customFormat="1" ht="20">
      <c r="A71" s="314" t="s">
        <v>347</v>
      </c>
      <c r="B71" s="150" t="str">
        <f ca="1">IF(LEN(A71)=0,"",INDEX('Smelter Look-up'!$A:$A,MATCH($A71,'Smelter Look-up'!$E:$E,0)))</f>
        <v>Mica</v>
      </c>
      <c r="C71" s="153" t="str">
        <f ca="1">IF(LEN(A71)=0,"",INDEX('Smelter Look-up'!$C:$C,MATCH($A71,'Smelter Look-up'!$E:$E,0)))</f>
        <v>JSC “Sludyanaya Fabrika”</v>
      </c>
      <c r="D71" s="150"/>
      <c r="E71" s="150" t="str">
        <f ca="1">IF(ISERROR($V71),"",OFFSET('Smelter Look-up'!$D$4,$V71-4,0)&amp;"")</f>
        <v>RUSSIAN FEDERATION</v>
      </c>
      <c r="F71" s="150" t="str">
        <f ca="1">IF(ISERROR($V71),"",OFFSET('Smelter Look-up'!$E$4,$V71-4,0))</f>
        <v>CID003664</v>
      </c>
      <c r="G71" s="150" t="str">
        <f ca="1">IF(C71=$X$4,"Enter smelter details",IF(ISERROR($V71),"",OFFSET('Smelter Look-up'!$F$4,$V71-4,0)))</f>
        <v>RMI</v>
      </c>
      <c r="H71" s="206">
        <f ca="1">IF(ISERROR($V71),"",OFFSET('Smelter Look-up'!$G$4,$V71-4,0))</f>
        <v>0</v>
      </c>
      <c r="I71" s="207" t="str">
        <f ca="1">IF(ISERROR($V71),"",OFFSET('Smelter Look-up'!$H$4,$V71-4,0))</f>
        <v>Saint-Petersburg</v>
      </c>
      <c r="J71" s="207" t="str">
        <f ca="1">IF(ISERROR($V71),"",OFFSET('Smelter Look-up'!$I$4,$V71-4,0))</f>
        <v>Sankt-Peterburg</v>
      </c>
      <c r="K71" s="151"/>
      <c r="L71" s="151"/>
      <c r="M71" s="151"/>
      <c r="N71" s="151"/>
      <c r="O71" s="151"/>
      <c r="P71" s="209"/>
      <c r="Q71" s="152"/>
      <c r="R71" s="150" t="str">
        <f ca="1">IF(ISERROR($V71),"",OFFSET('Smelter Look-up'!$C$4,$V71-4,0)&amp;"")</f>
        <v>JSC “Sludyanaya Fabrika”</v>
      </c>
      <c r="S71" s="156" t="str">
        <f t="shared" ca="1" si="5"/>
        <v>RU</v>
      </c>
      <c r="T71" s="156" t="str">
        <f ca="1">IF(B71="","",IF(ISERROR(MATCH($J71,SorP!$B$1:$B$6226,0)),"",INDIRECT("'SorP'!$A$"&amp;MATCH($S71&amp;$J71,SorP!C:C,0))))</f>
        <v>RU-SPE</v>
      </c>
      <c r="U71" s="169"/>
      <c r="V71" s="170">
        <f ca="1">IF(C71="",NA(),MATCH($B71&amp;$C71,'Smelter Look-up'!$J:$J,0))</f>
        <v>168</v>
      </c>
      <c r="X71" s="171">
        <f t="shared" ca="1" si="3"/>
        <v>0</v>
      </c>
      <c r="AB71" s="171" t="str">
        <f t="shared" ca="1" si="4"/>
        <v>MicaJSC “Sludyanaya Fabrika”</v>
      </c>
    </row>
    <row r="72" spans="1:28" s="171" customFormat="1" ht="20">
      <c r="A72" s="314" t="s">
        <v>356</v>
      </c>
      <c r="B72" s="150" t="str">
        <f ca="1">IF(LEN(A72)=0,"",INDEX('Smelter Look-up'!$A:$A,MATCH($A72,'Smelter Look-up'!$E:$E,0)))</f>
        <v>Mica</v>
      </c>
      <c r="C72" s="153" t="str">
        <f ca="1">IF(LEN(A72)=0,"",INDEX('Smelter Look-up'!$C:$C,MATCH($A72,'Smelter Look-up'!$E:$E,0)))</f>
        <v>Nanjing Jinyun Mica Ltd.</v>
      </c>
      <c r="D72" s="150"/>
      <c r="E72" s="150" t="str">
        <f ca="1">IF(ISERROR($V72),"",OFFSET('Smelter Look-up'!$D$4,$V72-4,0)&amp;"")</f>
        <v>CHINA</v>
      </c>
      <c r="F72" s="150" t="str">
        <f ca="1">IF(ISERROR($V72),"",OFFSET('Smelter Look-up'!$E$4,$V72-4,0))</f>
        <v>CID003787</v>
      </c>
      <c r="G72" s="150" t="str">
        <f ca="1">IF(C72=$X$4,"Enter smelter details",IF(ISERROR($V72),"",OFFSET('Smelter Look-up'!$F$4,$V72-4,0)))</f>
        <v>RMI</v>
      </c>
      <c r="H72" s="206">
        <f ca="1">IF(ISERROR($V72),"",OFFSET('Smelter Look-up'!$G$4,$V72-4,0))</f>
        <v>0</v>
      </c>
      <c r="I72" s="207" t="str">
        <f ca="1">IF(ISERROR($V72),"",OFFSET('Smelter Look-up'!$H$4,$V72-4,0))</f>
        <v>Nanjing</v>
      </c>
      <c r="J72" s="207" t="str">
        <f ca="1">IF(ISERROR($V72),"",OFFSET('Smelter Look-up'!$I$4,$V72-4,0))</f>
        <v>Jiangsu Sheng</v>
      </c>
      <c r="K72" s="151"/>
      <c r="L72" s="151"/>
      <c r="M72" s="151"/>
      <c r="N72" s="151"/>
      <c r="O72" s="151"/>
      <c r="P72" s="209"/>
      <c r="Q72" s="152"/>
      <c r="R72" s="150" t="str">
        <f ca="1">IF(ISERROR($V72),"",OFFSET('Smelter Look-up'!$C$4,$V72-4,0)&amp;"")</f>
        <v>Nanjing Jinyun Mica Ltd.</v>
      </c>
      <c r="S72" s="156" t="str">
        <f t="shared" ca="1" si="5"/>
        <v>CN</v>
      </c>
      <c r="T72" s="156" t="str">
        <f ca="1">IF(B72="","",IF(ISERROR(MATCH($J72,SorP!$B$1:$B$6226,0)),"",INDIRECT("'SorP'!$A$"&amp;MATCH($S72&amp;$J72,SorP!C:C,0))))</f>
        <v>CN-JS</v>
      </c>
      <c r="U72" s="169"/>
      <c r="V72" s="170">
        <f ca="1">IF(C72="",NA(),MATCH($B72&amp;$C72,'Smelter Look-up'!$J:$J,0))</f>
        <v>177</v>
      </c>
      <c r="X72" s="171">
        <f t="shared" ca="1" si="3"/>
        <v>0</v>
      </c>
      <c r="AB72" s="171" t="str">
        <f t="shared" ca="1" si="4"/>
        <v>MicaNanjing Jinyun Mica Ltd.</v>
      </c>
    </row>
    <row r="73" spans="1:28" s="171" customFormat="1" ht="24.7">
      <c r="A73" s="314" t="s">
        <v>12573</v>
      </c>
      <c r="B73" s="150" t="str">
        <f ca="1">IF(LEN(A73)=0,"",INDEX('Smelter Look-up'!$A:$A,MATCH($A73,'Smelter Look-up'!$E:$E,0)))</f>
        <v>Mica</v>
      </c>
      <c r="C73" s="153" t="str">
        <f ca="1">IF(LEN(A73)=0,"",INDEX('Smelter Look-up'!$C:$C,MATCH($A73,'Smelter Look-up'!$E:$E,0)))</f>
        <v>Yamaguchi Mica Co., Ltd. Toyohashi Factory</v>
      </c>
      <c r="D73" s="150"/>
      <c r="E73" s="150" t="str">
        <f ca="1">IF(ISERROR($V73),"",OFFSET('Smelter Look-up'!$D$4,$V73-4,0)&amp;"")</f>
        <v>JAPAN</v>
      </c>
      <c r="F73" s="150" t="str">
        <f ca="1">IF(ISERROR($V73),"",OFFSET('Smelter Look-up'!$E$4,$V73-4,0))</f>
        <v>CID003970</v>
      </c>
      <c r="G73" s="150" t="str">
        <f ca="1">IF(C73=$X$4,"Enter smelter details",IF(ISERROR($V73),"",OFFSET('Smelter Look-up'!$F$4,$V73-4,0)))</f>
        <v>RMI</v>
      </c>
      <c r="H73" s="206">
        <f ca="1">IF(ISERROR($V73),"",OFFSET('Smelter Look-up'!$G$4,$V73-4,0))</f>
        <v>0</v>
      </c>
      <c r="I73" s="207" t="str">
        <f ca="1">IF(ISERROR($V73),"",OFFSET('Smelter Look-up'!$H$4,$V73-4,0))</f>
        <v>Toyohashi</v>
      </c>
      <c r="J73" s="207" t="str">
        <f ca="1">IF(ISERROR($V73),"",OFFSET('Smelter Look-up'!$I$4,$V73-4,0))</f>
        <v>Aichi</v>
      </c>
      <c r="K73" s="151"/>
      <c r="L73" s="151"/>
      <c r="M73" s="151"/>
      <c r="N73" s="151"/>
      <c r="O73" s="151"/>
      <c r="P73" s="209"/>
      <c r="Q73" s="152"/>
      <c r="R73" s="150" t="str">
        <f ca="1">IF(ISERROR($V73),"",OFFSET('Smelter Look-up'!$C$4,$V73-4,0)&amp;"")</f>
        <v>Yamaguchi Mica Co., Ltd. Toyohashi Factory</v>
      </c>
      <c r="S73" s="156" t="str">
        <f t="shared" ca="1" si="5"/>
        <v>JP</v>
      </c>
      <c r="T73" s="156" t="str">
        <f ca="1">IF(B73="","",IF(ISERROR(MATCH($J73,SorP!$B$1:$B$6226,0)),"",INDIRECT("'SorP'!$A$"&amp;MATCH($S73&amp;$J73,SorP!C:C,0))))</f>
        <v>JP-23</v>
      </c>
      <c r="U73" s="169"/>
      <c r="V73" s="170">
        <f ca="1">IF(C73="",NA(),MATCH($B73&amp;$C73,'Smelter Look-up'!$J:$J,0))</f>
        <v>189</v>
      </c>
      <c r="X73" s="171">
        <f t="shared" ca="1" si="3"/>
        <v>0</v>
      </c>
      <c r="AB73" s="171" t="str">
        <f t="shared" ca="1" si="4"/>
        <v>MicaYamaguchi Mica Co., Ltd. Toyohashi Factory</v>
      </c>
    </row>
    <row r="74" spans="1:28" s="171" customFormat="1" ht="20">
      <c r="A74" s="314" t="s">
        <v>12571</v>
      </c>
      <c r="B74" s="150" t="str">
        <f ca="1">IF(LEN(A74)=0,"",INDEX('Smelter Look-up'!$A:$A,MATCH($A74,'Smelter Look-up'!$E:$E,0)))</f>
        <v>Mica</v>
      </c>
      <c r="C74" s="153" t="str">
        <f ca="1">IF(LEN(A74)=0,"",INDEX('Smelter Look-up'!$C:$C,MATCH($A74,'Smelter Look-up'!$E:$E,0)))</f>
        <v>Yamaguchi Mica Co., Ltd. Shinshiro Factory</v>
      </c>
      <c r="D74" s="150"/>
      <c r="E74" s="150" t="str">
        <f ca="1">IF(ISERROR($V74),"",OFFSET('Smelter Look-up'!$D$4,$V74-4,0)&amp;"")</f>
        <v>JAPAN</v>
      </c>
      <c r="F74" s="150" t="str">
        <f ca="1">IF(ISERROR($V74),"",OFFSET('Smelter Look-up'!$E$4,$V74-4,0))</f>
        <v>CID003971</v>
      </c>
      <c r="G74" s="150" t="str">
        <f ca="1">IF(C74=$X$4,"Enter smelter details",IF(ISERROR($V74),"",OFFSET('Smelter Look-up'!$F$4,$V74-4,0)))</f>
        <v>RMI</v>
      </c>
      <c r="H74" s="206">
        <f ca="1">IF(ISERROR($V74),"",OFFSET('Smelter Look-up'!$G$4,$V74-4,0))</f>
        <v>0</v>
      </c>
      <c r="I74" s="207" t="str">
        <f ca="1">IF(ISERROR($V74),"",OFFSET('Smelter Look-up'!$H$4,$V74-4,0))</f>
        <v>Shinshiro</v>
      </c>
      <c r="J74" s="207" t="str">
        <f ca="1">IF(ISERROR($V74),"",OFFSET('Smelter Look-up'!$I$4,$V74-4,0))</f>
        <v>Aichi</v>
      </c>
      <c r="K74" s="151"/>
      <c r="L74" s="151"/>
      <c r="M74" s="151"/>
      <c r="N74" s="151"/>
      <c r="O74" s="151"/>
      <c r="P74" s="209"/>
      <c r="Q74" s="152"/>
      <c r="R74" s="150" t="str">
        <f ca="1">IF(ISERROR($V74),"",OFFSET('Smelter Look-up'!$C$4,$V74-4,0)&amp;"")</f>
        <v>Yamaguchi Mica Co., Ltd. Shinshiro Factory</v>
      </c>
      <c r="S74" s="156" t="str">
        <f t="shared" ca="1" si="5"/>
        <v>JP</v>
      </c>
      <c r="T74" s="156" t="str">
        <f ca="1">IF(B74="","",IF(ISERROR(MATCH($J74,SorP!$B$1:$B$6226,0)),"",INDIRECT("'SorP'!$A$"&amp;MATCH($S74&amp;$J74,SorP!C:C,0))))</f>
        <v>JP-23</v>
      </c>
      <c r="U74" s="169"/>
      <c r="V74" s="170">
        <f ca="1">IF(C74="",NA(),MATCH($B74&amp;$C74,'Smelter Look-up'!$J:$J,0))</f>
        <v>188</v>
      </c>
      <c r="X74" s="171">
        <f t="shared" ca="1" si="3"/>
        <v>0</v>
      </c>
      <c r="AB74" s="171" t="str">
        <f t="shared" ca="1" si="4"/>
        <v>MicaYamaguchi Mica Co., Ltd. Shinshiro Factory</v>
      </c>
    </row>
    <row r="75" spans="1:28" s="171" customFormat="1" ht="24.7">
      <c r="A75" s="314" t="s">
        <v>12556</v>
      </c>
      <c r="B75" s="150" t="str">
        <f ca="1">IF(LEN(A75)=0,"",INDEX('Smelter Look-up'!$A:$A,MATCH($A75,'Smelter Look-up'!$E:$E,0)))</f>
        <v>Mica</v>
      </c>
      <c r="C75" s="153" t="str">
        <f ca="1">IF(LEN(A75)=0,"",INDEX('Smelter Look-up'!$C:$C,MATCH($A75,'Smelter Look-up'!$E:$E,0)))</f>
        <v>HEBEI LINGSHOU COUNTY ZHONGKE MINERAL POWDER CO., LTD.</v>
      </c>
      <c r="D75" s="150"/>
      <c r="E75" s="150" t="str">
        <f ca="1">IF(ISERROR($V75),"",OFFSET('Smelter Look-up'!$D$4,$V75-4,0)&amp;"")</f>
        <v>CHINA</v>
      </c>
      <c r="F75" s="150" t="str">
        <f ca="1">IF(ISERROR($V75),"",OFFSET('Smelter Look-up'!$E$4,$V75-4,0))</f>
        <v>CID003979</v>
      </c>
      <c r="G75" s="150" t="str">
        <f ca="1">IF(C75=$X$4,"Enter smelter details",IF(ISERROR($V75),"",OFFSET('Smelter Look-up'!$F$4,$V75-4,0)))</f>
        <v>RMI</v>
      </c>
      <c r="H75" s="206">
        <f ca="1">IF(ISERROR($V75),"",OFFSET('Smelter Look-up'!$G$4,$V75-4,0))</f>
        <v>0</v>
      </c>
      <c r="I75" s="207" t="str">
        <f ca="1">IF(ISERROR($V75),"",OFFSET('Smelter Look-up'!$H$4,$V75-4,0))</f>
        <v>Shijiazhuang</v>
      </c>
      <c r="J75" s="207" t="str">
        <f ca="1">IF(ISERROR($V75),"",OFFSET('Smelter Look-up'!$I$4,$V75-4,0))</f>
        <v>Hebei Sheng</v>
      </c>
      <c r="K75" s="151"/>
      <c r="L75" s="151"/>
      <c r="M75" s="151"/>
      <c r="N75" s="151"/>
      <c r="O75" s="151"/>
      <c r="P75" s="209"/>
      <c r="Q75" s="152"/>
      <c r="R75" s="150" t="str">
        <f ca="1">IF(ISERROR($V75),"",OFFSET('Smelter Look-up'!$C$4,$V75-4,0)&amp;"")</f>
        <v>HEBEI LINGSHOU COUNTY ZHONGKE MINERAL POWDER CO., LTD.</v>
      </c>
      <c r="S75" s="156" t="str">
        <f t="shared" ca="1" si="5"/>
        <v>CN</v>
      </c>
      <c r="T75" s="156" t="str">
        <f ca="1">IF(B75="","",IF(ISERROR(MATCH($J75,SorP!$B$1:$B$6226,0)),"",INDIRECT("'SorP'!$A$"&amp;MATCH($S75&amp;$J75,SorP!C:C,0))))</f>
        <v>CN-HE</v>
      </c>
      <c r="U75" s="169"/>
      <c r="V75" s="170">
        <f ca="1">IF(C75="",NA(),MATCH($B75&amp;$C75,'Smelter Look-up'!$J:$J,0))</f>
        <v>164</v>
      </c>
      <c r="X75" s="171">
        <f t="shared" ca="1" si="3"/>
        <v>0</v>
      </c>
      <c r="AB75" s="171" t="str">
        <f t="shared" ca="1" si="4"/>
        <v>MicaHEBEI LINGSHOU COUNTY ZHONGKE MINERAL POWDER CO., LTD.</v>
      </c>
    </row>
    <row r="76" spans="1:28" s="171" customFormat="1" ht="20">
      <c r="A76" s="314" t="s">
        <v>12559</v>
      </c>
      <c r="B76" s="150" t="str">
        <f ca="1">IF(LEN(A76)=0,"",INDEX('Smelter Look-up'!$A:$A,MATCH($A76,'Smelter Look-up'!$E:$E,0)))</f>
        <v>Mica</v>
      </c>
      <c r="C76" s="153" t="str">
        <f ca="1">IF(LEN(A76)=0,"",INDEX('Smelter Look-up'!$C:$C,MATCH($A76,'Smelter Look-up'!$E:$E,0)))</f>
        <v>Hunan Rongtai New Material Co., Ltd.</v>
      </c>
      <c r="D76" s="150"/>
      <c r="E76" s="150" t="str">
        <f ca="1">IF(ISERROR($V76),"",OFFSET('Smelter Look-up'!$D$4,$V76-4,0)&amp;"")</f>
        <v>CHINA</v>
      </c>
      <c r="F76" s="150" t="str">
        <f ca="1">IF(ISERROR($V76),"",OFFSET('Smelter Look-up'!$E$4,$V76-4,0))</f>
        <v>CID003980</v>
      </c>
      <c r="G76" s="150" t="str">
        <f ca="1">IF(C76=$X$4,"Enter smelter details",IF(ISERROR($V76),"",OFFSET('Smelter Look-up'!$F$4,$V76-4,0)))</f>
        <v>RMI</v>
      </c>
      <c r="H76" s="206">
        <f ca="1">IF(ISERROR($V76),"",OFFSET('Smelter Look-up'!$G$4,$V76-4,0))</f>
        <v>0</v>
      </c>
      <c r="I76" s="207" t="str">
        <f ca="1">IF(ISERROR($V76),"",OFFSET('Smelter Look-up'!$H$4,$V76-4,0))</f>
        <v>Yueyang</v>
      </c>
      <c r="J76" s="207" t="str">
        <f ca="1">IF(ISERROR($V76),"",OFFSET('Smelter Look-up'!$I$4,$V76-4,0))</f>
        <v>Hunan Sheng</v>
      </c>
      <c r="K76" s="151"/>
      <c r="L76" s="151"/>
      <c r="M76" s="151"/>
      <c r="N76" s="151"/>
      <c r="O76" s="151"/>
      <c r="P76" s="209"/>
      <c r="Q76" s="152"/>
      <c r="R76" s="150" t="str">
        <f ca="1">IF(ISERROR($V76),"",OFFSET('Smelter Look-up'!$C$4,$V76-4,0)&amp;"")</f>
        <v>Hunan Rongtai New Material Co., Ltd.</v>
      </c>
      <c r="S76" s="156" t="str">
        <f t="shared" ca="1" si="5"/>
        <v>CN</v>
      </c>
      <c r="T76" s="156" t="str">
        <f ca="1">IF(B76="","",IF(ISERROR(MATCH($J76,SorP!$B$1:$B$6226,0)),"",INDIRECT("'SorP'!$A$"&amp;MATCH($S76&amp;$J76,SorP!C:C,0))))</f>
        <v>CN-HN</v>
      </c>
      <c r="U76" s="169"/>
      <c r="V76" s="170">
        <f ca="1">IF(C76="",NA(),MATCH($B76&amp;$C76,'Smelter Look-up'!$J:$J,0))</f>
        <v>165</v>
      </c>
      <c r="X76" s="171">
        <f t="shared" ca="1" si="3"/>
        <v>0</v>
      </c>
      <c r="AB76" s="171" t="str">
        <f t="shared" ca="1" si="4"/>
        <v>MicaHunan Rongtai New Material Co., Ltd.</v>
      </c>
    </row>
    <row r="77" spans="1:28" s="171" customFormat="1" ht="24.7">
      <c r="A77" s="314" t="s">
        <v>12565</v>
      </c>
      <c r="B77" s="150" t="str">
        <f ca="1">IF(LEN(A77)=0,"",INDEX('Smelter Look-up'!$A:$A,MATCH($A77,'Smelter Look-up'!$E:$E,0)))</f>
        <v>Mica</v>
      </c>
      <c r="C77" s="153" t="str">
        <f ca="1">IF(LEN(A77)=0,"",INDEX('Smelter Look-up'!$C:$C,MATCH($A77,'Smelter Look-up'!$E:$E,0)))</f>
        <v>Minerals i Derivats, S.A.</v>
      </c>
      <c r="D77" s="150"/>
      <c r="E77" s="150" t="str">
        <f ca="1">IF(ISERROR($V77),"",OFFSET('Smelter Look-up'!$D$4,$V77-4,0)&amp;"")</f>
        <v>SPAIN</v>
      </c>
      <c r="F77" s="150" t="str">
        <f ca="1">IF(ISERROR($V77),"",OFFSET('Smelter Look-up'!$E$4,$V77-4,0))</f>
        <v>CID003985</v>
      </c>
      <c r="G77" s="150" t="str">
        <f ca="1">IF(C77=$X$4,"Enter smelter details",IF(ISERROR($V77),"",OFFSET('Smelter Look-up'!$F$4,$V77-4,0)))</f>
        <v>RMI</v>
      </c>
      <c r="H77" s="206">
        <f ca="1">IF(ISERROR($V77),"",OFFSET('Smelter Look-up'!$G$4,$V77-4,0))</f>
        <v>0</v>
      </c>
      <c r="I77" s="207" t="str">
        <f ca="1">IF(ISERROR($V77),"",OFFSET('Smelter Look-up'!$H$4,$V77-4,0))</f>
        <v>L'Arboc</v>
      </c>
      <c r="J77" s="207" t="str">
        <f ca="1">IF(ISERROR($V77),"",OFFSET('Smelter Look-up'!$I$4,$V77-4,0))</f>
        <v>Tarragona [Tarragona]</v>
      </c>
      <c r="K77" s="151"/>
      <c r="L77" s="151"/>
      <c r="M77" s="151"/>
      <c r="N77" s="151"/>
      <c r="O77" s="151"/>
      <c r="P77" s="209"/>
      <c r="Q77" s="152"/>
      <c r="R77" s="150" t="str">
        <f ca="1">IF(ISERROR($V77),"",OFFSET('Smelter Look-up'!$C$4,$V77-4,0)&amp;"")</f>
        <v>Minerals i Derivats, S.A.</v>
      </c>
      <c r="S77" s="156" t="str">
        <f t="shared" ca="1" si="5"/>
        <v>ES</v>
      </c>
      <c r="T77" s="156" t="str">
        <f ca="1">IF(B77="","",IF(ISERROR(MATCH($J77,SorP!$B$1:$B$6226,0)),"",INDIRECT("'SorP'!$A$"&amp;MATCH($S77&amp;$J77,SorP!C:C,0))))</f>
        <v>ES-T</v>
      </c>
      <c r="U77" s="169"/>
      <c r="V77" s="170">
        <f ca="1">IF(C77="",NA(),MATCH($B77&amp;$C77,'Smelter Look-up'!$J:$J,0))</f>
        <v>174</v>
      </c>
      <c r="X77" s="171">
        <f t="shared" ca="1" si="3"/>
        <v>0</v>
      </c>
      <c r="AB77" s="171" t="str">
        <f t="shared" ca="1" si="4"/>
        <v>MicaMinerals i Derivats, S.A.</v>
      </c>
    </row>
    <row r="78" spans="1:28" s="171" customFormat="1" ht="20">
      <c r="A78" s="314" t="s">
        <v>12562</v>
      </c>
      <c r="B78" s="150" t="str">
        <f ca="1">IF(LEN(A78)=0,"",INDEX('Smelter Look-up'!$A:$A,MATCH($A78,'Smelter Look-up'!$E:$E,0)))</f>
        <v>Mica</v>
      </c>
      <c r="C78" s="153" t="str">
        <f ca="1">IF(LEN(A78)=0,"",INDEX('Smelter Look-up'!$C:$C,MATCH($A78,'Smelter Look-up'!$E:$E,0)))</f>
        <v>Mica Electrical Material (Luhe) Co., Ltd.</v>
      </c>
      <c r="D78" s="150"/>
      <c r="E78" s="150" t="str">
        <f ca="1">IF(ISERROR($V78),"",OFFSET('Smelter Look-up'!$D$4,$V78-4,0)&amp;"")</f>
        <v>CHINA</v>
      </c>
      <c r="F78" s="150" t="str">
        <f ca="1">IF(ISERROR($V78),"",OFFSET('Smelter Look-up'!$E$4,$V78-4,0))</f>
        <v>CID003987</v>
      </c>
      <c r="G78" s="150" t="str">
        <f ca="1">IF(C78=$X$4,"Enter smelter details",IF(ISERROR($V78),"",OFFSET('Smelter Look-up'!$F$4,$V78-4,0)))</f>
        <v>RMI</v>
      </c>
      <c r="H78" s="206">
        <f ca="1">IF(ISERROR($V78),"",OFFSET('Smelter Look-up'!$G$4,$V78-4,0))</f>
        <v>0</v>
      </c>
      <c r="I78" s="207" t="str">
        <f ca="1">IF(ISERROR($V78),"",OFFSET('Smelter Look-up'!$H$4,$V78-4,0))</f>
        <v>Shanwei</v>
      </c>
      <c r="J78" s="207" t="str">
        <f ca="1">IF(ISERROR($V78),"",OFFSET('Smelter Look-up'!$I$4,$V78-4,0))</f>
        <v>Guangdong Sheng</v>
      </c>
      <c r="K78" s="151"/>
      <c r="L78" s="151"/>
      <c r="M78" s="151"/>
      <c r="N78" s="151"/>
      <c r="O78" s="151"/>
      <c r="P78" s="209"/>
      <c r="Q78" s="152"/>
      <c r="R78" s="150" t="str">
        <f ca="1">IF(ISERROR($V78),"",OFFSET('Smelter Look-up'!$C$4,$V78-4,0)&amp;"")</f>
        <v>Mica Electrical Material (Luhe) Co., Ltd.</v>
      </c>
      <c r="S78" s="156" t="str">
        <f t="shared" ca="1" si="5"/>
        <v>CN</v>
      </c>
      <c r="T78" s="156" t="str">
        <f ca="1">IF(B78="","",IF(ISERROR(MATCH($J78,SorP!$B$1:$B$6226,0)),"",INDIRECT("'SorP'!$A$"&amp;MATCH($S78&amp;$J78,SorP!C:C,0))))</f>
        <v>CN-GD</v>
      </c>
      <c r="U78" s="169"/>
      <c r="V78" s="170">
        <f ca="1">IF(C78="",NA(),MATCH($B78&amp;$C78,'Smelter Look-up'!$J:$J,0))</f>
        <v>173</v>
      </c>
      <c r="X78" s="171">
        <f t="shared" ca="1" si="3"/>
        <v>0</v>
      </c>
      <c r="AB78" s="171" t="str">
        <f t="shared" ca="1" si="4"/>
        <v>MicaMica Electrical Material (Luhe) Co., Ltd.</v>
      </c>
    </row>
    <row r="79" spans="1:28" s="171" customFormat="1" ht="20">
      <c r="A79" s="314" t="s">
        <v>12553</v>
      </c>
      <c r="B79" s="150" t="str">
        <f ca="1">IF(LEN(A79)=0,"",INDEX('Smelter Look-up'!$A:$A,MATCH($A79,'Smelter Look-up'!$E:$E,0)))</f>
        <v>Mica</v>
      </c>
      <c r="C79" s="153" t="str">
        <f ca="1">IF(LEN(A79)=0,"",INDEX('Smelter Look-up'!$C:$C,MATCH($A79,'Smelter Look-up'!$E:$E,0)))</f>
        <v>DARUKA MINCHEM PVT.LTD</v>
      </c>
      <c r="D79" s="150"/>
      <c r="E79" s="150" t="str">
        <f ca="1">IF(ISERROR($V79),"",OFFSET('Smelter Look-up'!$D$4,$V79-4,0)&amp;"")</f>
        <v>INDIA</v>
      </c>
      <c r="F79" s="150" t="str">
        <f ca="1">IF(ISERROR($V79),"",OFFSET('Smelter Look-up'!$E$4,$V79-4,0))</f>
        <v>CID004001</v>
      </c>
      <c r="G79" s="150" t="str">
        <f ca="1">IF(C79=$X$4,"Enter smelter details",IF(ISERROR($V79),"",OFFSET('Smelter Look-up'!$F$4,$V79-4,0)))</f>
        <v>RMI</v>
      </c>
      <c r="H79" s="206">
        <f ca="1">IF(ISERROR($V79),"",OFFSET('Smelter Look-up'!$G$4,$V79-4,0))</f>
        <v>0</v>
      </c>
      <c r="I79" s="207" t="str">
        <f ca="1">IF(ISERROR($V79),"",OFFSET('Smelter Look-up'!$H$4,$V79-4,0))</f>
        <v>Bhilwara</v>
      </c>
      <c r="J79" s="207" t="str">
        <f ca="1">IF(ISERROR($V79),"",OFFSET('Smelter Look-up'!$I$4,$V79-4,0))</f>
        <v>Rājasthān</v>
      </c>
      <c r="K79" s="151"/>
      <c r="L79" s="151"/>
      <c r="M79" s="151"/>
      <c r="N79" s="151"/>
      <c r="O79" s="151"/>
      <c r="P79" s="209"/>
      <c r="Q79" s="152"/>
      <c r="R79" s="150" t="str">
        <f ca="1">IF(ISERROR($V79),"",OFFSET('Smelter Look-up'!$C$4,$V79-4,0)&amp;"")</f>
        <v>DARUKA MINCHEM PVT.LTD</v>
      </c>
      <c r="S79" s="156" t="str">
        <f t="shared" ca="1" si="5"/>
        <v>IN</v>
      </c>
      <c r="T79" s="156" t="str">
        <f ca="1">IF(B79="","",IF(ISERROR(MATCH($J79,SorP!$B$1:$B$6226,0)),"",INDIRECT("'SorP'!$A$"&amp;MATCH($S79&amp;$J79,SorP!C:C,0))))</f>
        <v>IN-RJ</v>
      </c>
      <c r="U79" s="169"/>
      <c r="V79" s="170">
        <f ca="1">IF(C79="",NA(),MATCH($B79&amp;$C79,'Smelter Look-up'!$J:$J,0))</f>
        <v>161</v>
      </c>
      <c r="X79" s="171">
        <f t="shared" ca="1" si="3"/>
        <v>0</v>
      </c>
      <c r="AB79" s="171" t="str">
        <f t="shared" ca="1" si="4"/>
        <v>MicaDARUKA MINCHEM PVT.LTD</v>
      </c>
    </row>
    <row r="80" spans="1:28" s="171" customFormat="1" ht="20">
      <c r="A80" s="314" t="s">
        <v>12725</v>
      </c>
      <c r="B80" s="150" t="str">
        <f ca="1">IF(LEN(A80)=0,"",INDEX('Smelter Look-up'!$A:$A,MATCH($A80,'Smelter Look-up'!$E:$E,0)))</f>
        <v>Mica</v>
      </c>
      <c r="C80" s="153" t="str">
        <f ca="1">IF(LEN(A80)=0,"",INDEX('Smelter Look-up'!$C:$C,MATCH($A80,'Smelter Look-up'!$E:$E,0)))</f>
        <v>The Jai Mica Supply Co., PVT Ltd.</v>
      </c>
      <c r="D80" s="150"/>
      <c r="E80" s="150" t="str">
        <f ca="1">IF(ISERROR($V80),"",OFFSET('Smelter Look-up'!$D$4,$V80-4,0)&amp;"")</f>
        <v>INDIA</v>
      </c>
      <c r="F80" s="150" t="str">
        <f ca="1">IF(ISERROR($V80),"",OFFSET('Smelter Look-up'!$E$4,$V80-4,0))</f>
        <v>CID004067</v>
      </c>
      <c r="G80" s="150" t="str">
        <f ca="1">IF(C80=$X$4,"Enter smelter details",IF(ISERROR($V80),"",OFFSET('Smelter Look-up'!$F$4,$V80-4,0)))</f>
        <v>RMI</v>
      </c>
      <c r="H80" s="206">
        <f ca="1">IF(ISERROR($V80),"",OFFSET('Smelter Look-up'!$G$4,$V80-4,0))</f>
        <v>0</v>
      </c>
      <c r="I80" s="207" t="str">
        <f ca="1">IF(ISERROR($V80),"",OFFSET('Smelter Look-up'!$H$4,$V80-4,0))</f>
        <v>Giridih</v>
      </c>
      <c r="J80" s="207" t="str">
        <f ca="1">IF(ISERROR($V80),"",OFFSET('Smelter Look-up'!$I$4,$V80-4,0))</f>
        <v>Jhārkhand</v>
      </c>
      <c r="K80" s="151"/>
      <c r="L80" s="151"/>
      <c r="M80" s="151"/>
      <c r="N80" s="151"/>
      <c r="O80" s="151"/>
      <c r="P80" s="209"/>
      <c r="Q80" s="152"/>
      <c r="R80" s="150" t="str">
        <f ca="1">IF(ISERROR($V80),"",OFFSET('Smelter Look-up'!$C$4,$V80-4,0)&amp;"")</f>
        <v>The Jai Mica Supply Co., PVT Ltd.</v>
      </c>
      <c r="S80" s="156" t="str">
        <f t="shared" ca="1" si="5"/>
        <v>IN</v>
      </c>
      <c r="T80" s="156" t="str">
        <f ca="1">IF(B80="","",IF(ISERROR(MATCH($J80,SorP!$B$1:$B$6226,0)),"",INDIRECT("'SorP'!$A$"&amp;MATCH($S80&amp;$J80,SorP!C:C,0))))</f>
        <v>IN-JH</v>
      </c>
      <c r="U80" s="169"/>
      <c r="V80" s="170">
        <f ca="1">IF(C80="",NA(),MATCH($B80&amp;$C80,'Smelter Look-up'!$J:$J,0))</f>
        <v>182</v>
      </c>
      <c r="X80" s="171">
        <f t="shared" ca="1" si="3"/>
        <v>0</v>
      </c>
      <c r="AB80" s="171" t="str">
        <f t="shared" ca="1" si="4"/>
        <v>MicaThe Jai Mica Supply Co., PVT Ltd.</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1"/>
      <c r="L2496" s="151"/>
      <c r="M2496" s="151"/>
      <c r="N2496" s="151"/>
      <c r="O2496" s="151"/>
      <c r="P2496" s="209"/>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1"/>
      <c r="L2497" s="151"/>
      <c r="M2497" s="151"/>
      <c r="N2497" s="151"/>
      <c r="O2497" s="151"/>
      <c r="P2497" s="209"/>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5"/>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7" t="str">
        <f>IF(LEN(A2499)=0,"",INDEX('Smelter Look-up'!$A:$A,MATCH($A2499,'Smelter Look-up'!$E:$E,0)))</f>
        <v/>
      </c>
      <c r="C2499" s="153"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1"/>
      <c r="L2499" s="151"/>
      <c r="M2499" s="151"/>
      <c r="N2499" s="151"/>
      <c r="O2499" s="151"/>
      <c r="P2499" s="240"/>
      <c r="Q2499" s="152"/>
      <c r="R2499" s="236"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350000000000001" thickBot="1">
      <c r="A2500" s="211"/>
      <c r="B2500" s="212" t="str">
        <f>IF(LEN(A2500)=0,"",INDEX('Smelter Look-up'!$A:$A,MATCH($A2500,'Smelter Look-up'!$E:$E,0)))</f>
        <v/>
      </c>
      <c r="C2500" s="241"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42"/>
      <c r="R2500" s="217"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7"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9453125" defaultRowHeight="12.35"/>
  <cols>
    <col min="1" max="1" width="45.05078125" style="16" customWidth="1"/>
    <col min="2" max="2" width="42.89453125" style="17" customWidth="1"/>
    <col min="3" max="3" width="51.47265625" style="16" customWidth="1"/>
    <col min="4" max="4" width="29.05078125" style="17" customWidth="1"/>
    <col min="5" max="5" width="9" style="16" customWidth="1"/>
    <col min="6" max="6" width="13.47265625" style="16" hidden="1" customWidth="1"/>
    <col min="7" max="7" width="13.20703125" style="16" hidden="1" customWidth="1"/>
    <col min="8" max="9" width="9" style="16" hidden="1" customWidth="1"/>
    <col min="10" max="10" width="48.89453125" style="16" hidden="1" customWidth="1"/>
    <col min="11" max="11" width="9" style="16" hidden="1" customWidth="1"/>
    <col min="12" max="13" width="8.89453125" style="16" hidden="1" customWidth="1"/>
    <col min="14" max="14" width="31.20703125" style="16" hidden="1" customWidth="1"/>
    <col min="15" max="15" width="8.89453125" style="16" hidden="1" customWidth="1"/>
    <col min="16" max="26" width="8.89453125" style="16" customWidth="1"/>
    <col min="27" max="16384" width="8.8945312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6.7">
      <c r="A2" s="59" t="s">
        <v>50</v>
      </c>
      <c r="B2" s="60" t="str">
        <f>IF(F60=1,"Click here to return to Smelter List","")</f>
        <v>Click here to return to Smelter List</v>
      </c>
      <c r="C2" s="112" t="str">
        <f>IF(F59=1,"Click here to return to Product List","")</f>
        <v/>
      </c>
      <c r="D2" s="134" t="e">
        <f ca="1">IF(H65=0,"0",H65)</f>
        <v>#N/A</v>
      </c>
    </row>
    <row r="3" spans="1:10" ht="15.3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8.35">
      <c r="A4" s="136" t="str">
        <f ca="1">Declaration!B8</f>
        <v>Company Name (*):</v>
      </c>
      <c r="B4" s="80" t="str">
        <f>Declaration!D8</f>
        <v>ASUSTEK COMPUTER INC.</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8">
      <c r="A7" s="136" t="str">
        <f ca="1">Declaration!B15</f>
        <v>Contact Name (*):</v>
      </c>
      <c r="B7" s="80" t="str">
        <f>Declaration!D15</f>
        <v>Albert Wang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
      <c r="A8" s="136" t="str">
        <f ca="1">Declaration!B16</f>
        <v>Email – Contact (*):</v>
      </c>
      <c r="B8" s="80" t="str">
        <f>Declaration!D16</f>
        <v>Albert2_Wang@asus.com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
      <c r="A9" s="136" t="str">
        <f ca="1">Declaration!B17</f>
        <v>Phone – Contact (*):</v>
      </c>
      <c r="B9" s="80" t="str">
        <f>Declaration!D17</f>
        <v>(886) 2 2894 3447 Ext.26325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
      <c r="A10" s="136" t="str">
        <f ca="1">Declaration!B18</f>
        <v>Authorizer (*):</v>
      </c>
      <c r="B10" s="80" t="str">
        <f>Declaration!D18</f>
        <v>Jason Chang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
      <c r="A11" s="81" t="str">
        <f ca="1">Declaration!B20</f>
        <v>Email - Authorizer (*):</v>
      </c>
      <c r="B11" s="80" t="str">
        <f>Declaration!D20</f>
        <v>JC_Chang@asus.com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 hidden="1">
      <c r="A12" s="81" t="str">
        <f ca="1">Declaration!B21</f>
        <v>Phone - Authorizer:</v>
      </c>
      <c r="B12" s="80" t="str">
        <f>Declaration!D21</f>
        <v>(886) 2 2894 3447 Ext.22619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
      <c r="A13" s="81" t="str">
        <f ca="1">Declaration!B22</f>
        <v>Effective Date (*):</v>
      </c>
      <c r="B13" s="82">
        <f>Declaration!D22</f>
        <v>45482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1.7">
      <c r="A14" s="80" t="str">
        <f ca="1">Declaration!B25</f>
        <v>1) Is any of the cobalt or natural mica intentionally added or used in the product(s) or in the production process? (*)</v>
      </c>
      <c r="B14" s="83"/>
      <c r="C14" s="83"/>
      <c r="D14" s="87"/>
      <c r="E14" s="17" t="s">
        <v>16</v>
      </c>
      <c r="F14" s="84"/>
      <c r="H14" s="16">
        <f t="shared" si="2"/>
        <v>0</v>
      </c>
    </row>
    <row r="15" spans="1:10" ht="25.7">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
      <c r="A19" s="80" t="str">
        <f ca="1">Declaration!B31</f>
        <v>2) Does any cobalt or natural mica remain in the product(s)? (*)</v>
      </c>
      <c r="B19" s="83"/>
      <c r="C19" s="83"/>
      <c r="D19" s="87"/>
      <c r="E19" s="17" t="s">
        <v>15</v>
      </c>
      <c r="F19" s="84"/>
      <c r="J19" s="133"/>
    </row>
    <row r="20" spans="1:10" ht="63.7"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 customHeight="1">
      <c r="A21" s="81" t="str">
        <f ca="1">Declaration!B33</f>
        <v>Mica(*)</v>
      </c>
      <c r="B21" s="80" t="str">
        <f>Declaration!D33</f>
        <v>Yes</v>
      </c>
      <c r="C21" s="137" t="str">
        <f t="shared" ca="1" si="5"/>
        <v>Complete</v>
      </c>
      <c r="D21" s="230"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35">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Yes</v>
      </c>
      <c r="C24" s="137" t="str">
        <f t="shared" ca="1" si="3"/>
        <v>Complete</v>
      </c>
      <c r="D24" s="230"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
      <c r="A32" s="80" t="str">
        <f ca="1">Declaration!B49</f>
        <v>5) What percentage of relevant suppliers have provided a response to your supply chain survey?(*)</v>
      </c>
      <c r="B32" s="83"/>
      <c r="C32" s="83"/>
      <c r="D32" s="87"/>
      <c r="E32" s="17" t="s">
        <v>15</v>
      </c>
      <c r="F32" s="84"/>
    </row>
    <row r="33" spans="1:10" ht="25.7">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7">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7"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5.7"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49.35">
      <c r="A37" s="80" t="str">
        <f ca="1">Declaration!B55</f>
        <v>6) Have you identified all of the smelters or processors supplying the cobalt or natural mica to your supply chain?(*)</v>
      </c>
      <c r="B37" s="83"/>
      <c r="C37" s="83"/>
      <c r="D37" s="87"/>
      <c r="E37" s="17" t="s">
        <v>13</v>
      </c>
      <c r="F37" s="84"/>
    </row>
    <row r="38" spans="1:10" ht="50.3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3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3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3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1.7">
      <c r="A42" s="80" t="str">
        <f ca="1">Declaration!B61</f>
        <v>7) Has all applicable smelter or processor information received by your company been reported in this declaration?(*)</v>
      </c>
      <c r="B42" s="83"/>
      <c r="C42" s="83"/>
      <c r="D42" s="87"/>
      <c r="E42" s="17" t="s">
        <v>16</v>
      </c>
      <c r="F42" s="84"/>
    </row>
    <row r="43" spans="1:10" ht="38">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7">
      <c r="A47" s="80" t="str">
        <f ca="1">Declaration!B68</f>
        <v>Question</v>
      </c>
      <c r="B47" s="83"/>
      <c r="C47" s="83"/>
      <c r="D47" s="87"/>
      <c r="E47" s="17" t="s">
        <v>18</v>
      </c>
      <c r="F47" s="84"/>
      <c r="G47" s="84"/>
      <c r="H47" s="84"/>
    </row>
    <row r="48" spans="1:10" ht="38">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35">
      <c r="A50" s="80" t="s">
        <v>57</v>
      </c>
      <c r="B50" s="80" t="str">
        <f>Declaration!G71</f>
        <v>https://csr.asus.com/en/responsible-manufacturing/responsible-mineral-sourcing</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7">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7">
      <c r="A53" s="80" t="str">
        <f ca="1">Declaration!B75</f>
        <v>Mica(*)</v>
      </c>
      <c r="B53" s="80" t="str">
        <f>Declaration!D75</f>
        <v>Yes, when more processors are validated</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
      <c r="A60" s="136" t="s">
        <v>59</v>
      </c>
      <c r="B60" s="80"/>
      <c r="C60" s="137" t="str">
        <f ca="1">IF(H60=1,J60,I60)</f>
        <v>Complete</v>
      </c>
      <c r="D60" s="220"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
      <c r="A61" s="136" t="s">
        <v>60</v>
      </c>
      <c r="B61" s="80"/>
      <c r="C61" s="137" t="str">
        <f ca="1">IF(H61=1,J61,I61)</f>
        <v>Complete</v>
      </c>
      <c r="D61" s="220" t="str">
        <f ca="1">IF(H61=0,"","Click here to provide smelter information")</f>
        <v/>
      </c>
      <c r="E61" s="17" t="s">
        <v>15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 hidden="1" customHeight="1">
      <c r="A62" s="81"/>
      <c r="B62" s="80"/>
      <c r="C62" s="80"/>
      <c r="D62" s="86"/>
      <c r="E62" s="17" t="s">
        <v>15</v>
      </c>
      <c r="F62" s="85"/>
      <c r="G62" s="63"/>
      <c r="H62" s="64"/>
      <c r="I62" s="132" t="str">
        <f ca="1">OFFSET(L!$C$1,MATCH("Checker"&amp;"Comp",L!$A:$A,0)-1,SL,,)</f>
        <v>Complete</v>
      </c>
      <c r="K62" s="135"/>
    </row>
    <row r="63" spans="1:12" ht="41.2" hidden="1" customHeight="1">
      <c r="A63" s="81"/>
      <c r="B63" s="80"/>
      <c r="C63" s="80"/>
      <c r="D63" s="86"/>
      <c r="E63" s="17" t="s">
        <v>15</v>
      </c>
      <c r="F63" s="85"/>
      <c r="G63" s="63"/>
      <c r="H63" s="64"/>
      <c r="I63" s="132" t="str">
        <f ca="1">OFFSET(L!$C$1,MATCH("Checker"&amp;"Comp",L!$A:$A,0)-1,SL,,)</f>
        <v>Complete</v>
      </c>
      <c r="K63" s="135"/>
    </row>
    <row r="64" spans="1:12" ht="24.7">
      <c r="A64" s="142" t="s">
        <v>61</v>
      </c>
      <c r="B64" s="80"/>
      <c r="C64" s="142" t="str">
        <f ca="1">IF(F64=0,J64,IF(G64=0,I64,L64))</f>
        <v>N/A</v>
      </c>
      <c r="D64" s="86"/>
      <c r="E64" s="17"/>
      <c r="F64" s="85">
        <f ca="1">IF(COUNTIF('Smelter List'!$C:$C,"Smelter Not Listed")&gt;0,1,0)</f>
        <v>0</v>
      </c>
      <c r="G64" s="63" t="e" cm="1">
        <f t="array" aca="1" ref="G64" ca="1">IF(OR(SUMPRODUCT(('Smelter List'!$C:$C="Smelter not listed")*('Smelter List'!$D:$D=""))&gt;0,SUMPRODUCT(('Smelter List'!$C:$C="Smelter not listed")*('Smelter List'!$E:$E=""))&gt;0),1,0)</f>
        <v>#N/A</v>
      </c>
      <c r="H64" s="64" t="e">
        <f ca="1">F64*G64</f>
        <v>#N/A</v>
      </c>
      <c r="I64" s="132" t="str">
        <f ca="1">OFFSET(L!$C$1,MATCH("Checker"&amp;"Comp",L!$A:$A,0)-1,SL,,)</f>
        <v>Complete</v>
      </c>
      <c r="J64" s="16" t="s">
        <v>62</v>
      </c>
      <c r="K64" s="135"/>
      <c r="L64" s="16" t="s">
        <v>63</v>
      </c>
    </row>
    <row r="65" spans="8:8">
      <c r="H65" s="16" t="e">
        <f ca="1">SUM(H4:H64)</f>
        <v>#N/A</v>
      </c>
    </row>
    <row r="68" spans="8:8" ht="12.7"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9453125" defaultRowHeight="12.35"/>
  <cols>
    <col min="1" max="1" width="3.05078125" style="16" customWidth="1"/>
    <col min="2" max="2" width="39.89453125" style="92" customWidth="1"/>
    <col min="3" max="3" width="39.89453125" style="16" customWidth="1"/>
    <col min="4" max="4" width="58.89453125" style="16" customWidth="1"/>
    <col min="5" max="5" width="1.68359375" style="16" customWidth="1"/>
    <col min="6" max="6" width="71.89453125" customWidth="1"/>
    <col min="7" max="35" width="9" customWidth="1"/>
    <col min="36" max="16384" width="8.8945312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ht="12.7">
      <c r="A2" s="20"/>
      <c r="B2" s="110"/>
      <c r="C2" s="110"/>
      <c r="D2"/>
      <c r="E2" s="21"/>
    </row>
    <row r="3" spans="1:35" ht="12.7">
      <c r="A3" s="20"/>
      <c r="B3" s="110"/>
      <c r="C3" s="110"/>
      <c r="D3" s="110"/>
      <c r="E3" s="21"/>
    </row>
    <row r="4" spans="1:35" ht="15.75" customHeight="1">
      <c r="A4" s="20"/>
      <c r="B4" s="400" t="s">
        <v>50</v>
      </c>
      <c r="C4" s="400"/>
      <c r="D4" s="40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3" t="str">
        <f ca="1">OFFSET(L!$C$1,MATCH("General"&amp;"Cpy",L!$A:$A,0)-1,SL,,)</f>
        <v>© 2024 Responsible Minerals Initiative. All rights reserved.</v>
      </c>
      <c r="C1001" s="403"/>
      <c r="D1001" s="403"/>
      <c r="E1001" s="22"/>
    </row>
    <row r="1002" spans="1:35" ht="12.7"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85" zoomScaleNormal="85" workbookViewId="0">
      <pane ySplit="4" topLeftCell="A180" activePane="bottomLeft" state="frozen"/>
      <selection activeCell="B24" sqref="B24:J24"/>
      <selection pane="bottomLeft" activeCell="A205" sqref="A205"/>
    </sheetView>
  </sheetViews>
  <sheetFormatPr defaultColWidth="8.89453125" defaultRowHeight="12.35"/>
  <cols>
    <col min="1" max="1" width="9.05078125" style="157" bestFit="1" customWidth="1"/>
    <col min="2" max="2" width="42.89453125" style="157" customWidth="1"/>
    <col min="3" max="3" width="40.05078125" style="157" customWidth="1"/>
    <col min="4" max="4" width="22.89453125" style="157" customWidth="1"/>
    <col min="5" max="5" width="12.68359375" style="157" customWidth="1"/>
    <col min="6" max="6" width="12.68359375" style="158" customWidth="1"/>
    <col min="7" max="7" width="15.20703125" style="157" customWidth="1"/>
    <col min="8" max="8" width="23.89453125" style="157" customWidth="1"/>
    <col min="9" max="9" width="28.05078125" style="157" customWidth="1"/>
    <col min="10" max="10" width="38.68359375" style="157" hidden="1" customWidth="1"/>
    <col min="11" max="11" width="24.05078125" style="157" hidden="1" customWidth="1"/>
    <col min="12" max="12" width="17.47265625" style="157" customWidth="1"/>
    <col min="13" max="13" width="16.05078125" style="157" customWidth="1"/>
    <col min="14" max="16384" width="8.8945312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8359375" defaultRowHeight="14.35"/>
  <cols>
    <col min="1" max="1" width="14.68359375" style="127" customWidth="1"/>
    <col min="2" max="2" width="14" style="127" customWidth="1"/>
    <col min="3" max="3" width="6.05078125" style="127" customWidth="1"/>
    <col min="4" max="4" width="50.89453125" style="127" customWidth="1"/>
    <col min="5" max="5" width="45.89453125" style="243" customWidth="1"/>
    <col min="6" max="6" width="61.62890625" style="244" customWidth="1"/>
    <col min="7" max="7" width="61.62890625" style="127" customWidth="1"/>
    <col min="8" max="8" width="65.62890625" style="144" customWidth="1"/>
    <col min="9" max="9" width="51.5234375" style="189" customWidth="1"/>
    <col min="10" max="16384" width="8.68359375" style="189"/>
  </cols>
  <sheetData>
    <row r="1" spans="1:9">
      <c r="B1" s="127" t="s">
        <v>374</v>
      </c>
      <c r="C1" s="127" t="s">
        <v>375</v>
      </c>
      <c r="D1" s="127" t="s">
        <v>17</v>
      </c>
      <c r="E1" s="243" t="s">
        <v>376</v>
      </c>
      <c r="F1" s="244" t="s">
        <v>377</v>
      </c>
      <c r="G1" s="127" t="s">
        <v>378</v>
      </c>
      <c r="H1" s="295" t="s">
        <v>379</v>
      </c>
      <c r="I1" s="189" t="s">
        <v>18961</v>
      </c>
    </row>
    <row r="2" spans="1:9" ht="28">
      <c r="A2" s="127" t="str">
        <f>B2&amp;C2</f>
        <v>InstructionsA1</v>
      </c>
      <c r="B2" s="127" t="s">
        <v>380</v>
      </c>
      <c r="C2" s="127" t="s">
        <v>381</v>
      </c>
      <c r="D2" s="127" t="s">
        <v>382</v>
      </c>
      <c r="E2" s="243" t="s">
        <v>383</v>
      </c>
      <c r="F2" s="244" t="s">
        <v>384</v>
      </c>
      <c r="G2" s="127" t="s">
        <v>382</v>
      </c>
      <c r="H2" s="295" t="s">
        <v>382</v>
      </c>
      <c r="I2" s="295" t="s">
        <v>382</v>
      </c>
    </row>
    <row r="3" spans="1:9">
      <c r="A3" s="127" t="str">
        <f t="shared" ref="A3:A69" si="0">B3&amp;C3</f>
        <v>InstructionsA2</v>
      </c>
      <c r="B3" s="127" t="s">
        <v>380</v>
      </c>
      <c r="C3" s="127" t="s">
        <v>385</v>
      </c>
      <c r="D3" s="127" t="s">
        <v>386</v>
      </c>
      <c r="E3" s="243" t="s">
        <v>387</v>
      </c>
      <c r="F3" s="244" t="s">
        <v>388</v>
      </c>
      <c r="G3" s="127" t="s">
        <v>389</v>
      </c>
      <c r="H3" s="295" t="s">
        <v>386</v>
      </c>
      <c r="I3" s="189" t="s">
        <v>18962</v>
      </c>
    </row>
    <row r="4" spans="1:9" ht="293.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6">
      <c r="A8" s="127" t="str">
        <f t="shared" si="0"/>
        <v>InstructionsA8</v>
      </c>
      <c r="B8" s="127" t="s">
        <v>380</v>
      </c>
      <c r="C8" s="127" t="s">
        <v>413</v>
      </c>
      <c r="D8" s="127" t="s">
        <v>414</v>
      </c>
      <c r="E8" s="243" t="s">
        <v>415</v>
      </c>
      <c r="F8" s="244" t="s">
        <v>416</v>
      </c>
      <c r="G8" s="127" t="s">
        <v>417</v>
      </c>
      <c r="H8" s="295" t="s">
        <v>418</v>
      </c>
      <c r="I8" s="101" t="s">
        <v>18966</v>
      </c>
    </row>
    <row r="9" spans="1:9" ht="41">
      <c r="A9" s="127" t="str">
        <f t="shared" si="0"/>
        <v>InstructionsA9</v>
      </c>
      <c r="B9" s="127" t="s">
        <v>380</v>
      </c>
      <c r="C9" s="127" t="s">
        <v>419</v>
      </c>
      <c r="D9" s="127" t="s">
        <v>420</v>
      </c>
      <c r="E9" s="243" t="s">
        <v>421</v>
      </c>
      <c r="F9" s="244" t="s">
        <v>422</v>
      </c>
      <c r="G9" s="127" t="s">
        <v>423</v>
      </c>
      <c r="H9" s="295" t="s">
        <v>424</v>
      </c>
      <c r="I9" s="127" t="s">
        <v>18967</v>
      </c>
    </row>
    <row r="10" spans="1:9" ht="28.7">
      <c r="A10" s="127" t="str">
        <f>B10&amp;C10</f>
        <v>InstructionsA10</v>
      </c>
      <c r="B10" s="127" t="s">
        <v>380</v>
      </c>
      <c r="C10" s="127" t="s">
        <v>425</v>
      </c>
      <c r="D10" s="127" t="s">
        <v>426</v>
      </c>
      <c r="E10" s="243" t="s">
        <v>427</v>
      </c>
      <c r="F10" s="244" t="s">
        <v>428</v>
      </c>
      <c r="G10" s="127" t="s">
        <v>429</v>
      </c>
      <c r="H10" s="295" t="s">
        <v>430</v>
      </c>
      <c r="I10" s="127" t="s">
        <v>18968</v>
      </c>
    </row>
    <row r="11" spans="1:9" ht="41">
      <c r="A11" s="127" t="str">
        <f t="shared" si="0"/>
        <v>InstructionsA11</v>
      </c>
      <c r="B11" s="127" t="s">
        <v>380</v>
      </c>
      <c r="C11" s="127" t="s">
        <v>431</v>
      </c>
      <c r="D11" s="127" t="s">
        <v>432</v>
      </c>
      <c r="E11" s="221" t="s">
        <v>433</v>
      </c>
      <c r="F11" s="246" t="s">
        <v>434</v>
      </c>
      <c r="G11" s="127" t="s">
        <v>435</v>
      </c>
      <c r="H11" s="295" t="s">
        <v>436</v>
      </c>
      <c r="I11" s="127" t="s">
        <v>18969</v>
      </c>
    </row>
    <row r="12" spans="1:9" ht="41">
      <c r="A12" s="127" t="str">
        <f t="shared" si="0"/>
        <v>InstructionsA12</v>
      </c>
      <c r="B12" s="127" t="s">
        <v>380</v>
      </c>
      <c r="C12" s="127" t="s">
        <v>437</v>
      </c>
      <c r="D12" s="127" t="s">
        <v>438</v>
      </c>
      <c r="E12" s="243" t="s">
        <v>439</v>
      </c>
      <c r="F12" s="244" t="s">
        <v>440</v>
      </c>
      <c r="G12" s="127" t="s">
        <v>441</v>
      </c>
      <c r="H12" s="295" t="s">
        <v>442</v>
      </c>
      <c r="I12" s="127" t="s">
        <v>18970</v>
      </c>
    </row>
    <row r="13" spans="1:9" ht="68.349999999999994">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82">
      <c r="A15" s="127" t="str">
        <f t="shared" si="0"/>
        <v>InstructionsA15</v>
      </c>
      <c r="B15" s="127" t="s">
        <v>380</v>
      </c>
      <c r="C15" s="127" t="s">
        <v>455</v>
      </c>
      <c r="D15" s="127" t="s">
        <v>456</v>
      </c>
      <c r="E15" s="243" t="s">
        <v>457</v>
      </c>
      <c r="F15" s="244" t="s">
        <v>458</v>
      </c>
      <c r="G15" s="127" t="s">
        <v>459</v>
      </c>
      <c r="H15" s="295" t="s">
        <v>460</v>
      </c>
      <c r="I15" s="127" t="s">
        <v>18973</v>
      </c>
    </row>
    <row r="16" spans="1:9" ht="27.35">
      <c r="A16" s="127" t="str">
        <f t="shared" si="0"/>
        <v>InstructionsA16</v>
      </c>
      <c r="B16" s="127" t="s">
        <v>380</v>
      </c>
      <c r="C16" s="127" t="s">
        <v>461</v>
      </c>
      <c r="D16" s="127" t="s">
        <v>462</v>
      </c>
      <c r="E16" s="221" t="s">
        <v>463</v>
      </c>
      <c r="F16" s="246" t="s">
        <v>464</v>
      </c>
      <c r="G16" s="127" t="s">
        <v>465</v>
      </c>
      <c r="H16" s="295" t="s">
        <v>466</v>
      </c>
      <c r="I16" s="127" t="s">
        <v>18974</v>
      </c>
    </row>
    <row r="17" spans="1:9" ht="68.349999999999994">
      <c r="A17" s="127" t="str">
        <f t="shared" si="0"/>
        <v>InstructionsA17</v>
      </c>
      <c r="B17" s="127" t="s">
        <v>380</v>
      </c>
      <c r="C17" s="127" t="s">
        <v>467</v>
      </c>
      <c r="D17" s="127" t="s">
        <v>468</v>
      </c>
      <c r="E17" s="243" t="s">
        <v>469</v>
      </c>
      <c r="F17" s="244" t="s">
        <v>470</v>
      </c>
      <c r="G17" s="127" t="s">
        <v>471</v>
      </c>
      <c r="H17" s="295" t="s">
        <v>472</v>
      </c>
      <c r="I17" s="127" t="s">
        <v>18975</v>
      </c>
    </row>
    <row r="18" spans="1:9" ht="41">
      <c r="A18" s="127" t="str">
        <f>B18&amp;C18</f>
        <v>InstructionsA18</v>
      </c>
      <c r="B18" s="127" t="s">
        <v>380</v>
      </c>
      <c r="C18" s="127" t="s">
        <v>473</v>
      </c>
      <c r="D18" s="127" t="s">
        <v>474</v>
      </c>
      <c r="E18" s="127" t="s">
        <v>475</v>
      </c>
      <c r="F18" s="246" t="s">
        <v>476</v>
      </c>
      <c r="G18" s="127" t="s">
        <v>477</v>
      </c>
      <c r="H18" s="295" t="s">
        <v>478</v>
      </c>
      <c r="I18" s="127" t="s">
        <v>18976</v>
      </c>
    </row>
    <row r="19" spans="1:9" ht="41">
      <c r="A19" s="127" t="str">
        <f t="shared" si="0"/>
        <v>InstructionsA19</v>
      </c>
      <c r="B19" s="127" t="s">
        <v>380</v>
      </c>
      <c r="C19" s="127" t="s">
        <v>479</v>
      </c>
      <c r="D19" s="127" t="s">
        <v>480</v>
      </c>
      <c r="E19" s="243" t="s">
        <v>481</v>
      </c>
      <c r="F19" s="244" t="s">
        <v>482</v>
      </c>
      <c r="G19" s="127" t="s">
        <v>483</v>
      </c>
      <c r="H19" s="298" t="s">
        <v>484</v>
      </c>
      <c r="I19" s="127" t="s">
        <v>18977</v>
      </c>
    </row>
    <row r="20" spans="1:9" ht="41">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23">
      <c r="A22" s="127" t="str">
        <f t="shared" si="0"/>
        <v>InstructionsA23</v>
      </c>
      <c r="B22" s="127" t="s">
        <v>380</v>
      </c>
      <c r="C22" s="127" t="s">
        <v>497</v>
      </c>
      <c r="D22" s="127" t="s">
        <v>498</v>
      </c>
      <c r="E22" s="243" t="s">
        <v>499</v>
      </c>
      <c r="F22" s="244" t="s">
        <v>500</v>
      </c>
      <c r="G22" s="245" t="s">
        <v>501</v>
      </c>
      <c r="H22" s="298" t="s">
        <v>502</v>
      </c>
      <c r="I22" s="127" t="s">
        <v>18980</v>
      </c>
    </row>
    <row r="23" spans="1:9" ht="30.7">
      <c r="A23" s="127" t="str">
        <f>B23&amp;C23</f>
        <v>InstructionsA24</v>
      </c>
      <c r="B23" s="127" t="s">
        <v>380</v>
      </c>
      <c r="C23" s="127" t="s">
        <v>503</v>
      </c>
      <c r="D23" s="127" t="s">
        <v>504</v>
      </c>
      <c r="E23" s="243" t="s">
        <v>505</v>
      </c>
      <c r="F23" s="244" t="s">
        <v>506</v>
      </c>
      <c r="G23" s="127" t="s">
        <v>507</v>
      </c>
      <c r="H23" s="298" t="s">
        <v>508</v>
      </c>
      <c r="I23" s="127" t="s">
        <v>18981</v>
      </c>
    </row>
    <row r="24" spans="1:9" ht="109.35">
      <c r="A24" s="127" t="str">
        <f t="shared" si="0"/>
        <v>InstructionsA25</v>
      </c>
      <c r="B24" s="127" t="s">
        <v>380</v>
      </c>
      <c r="C24" s="127" t="s">
        <v>509</v>
      </c>
      <c r="D24" s="127" t="s">
        <v>510</v>
      </c>
      <c r="E24" s="243" t="s">
        <v>511</v>
      </c>
      <c r="F24" s="289" t="s">
        <v>512</v>
      </c>
      <c r="G24" s="127" t="s">
        <v>513</v>
      </c>
      <c r="H24" s="295" t="s">
        <v>514</v>
      </c>
      <c r="I24" s="127" t="s">
        <v>18982</v>
      </c>
    </row>
    <row r="25" spans="1:9" ht="259.7">
      <c r="A25" s="127" t="str">
        <f t="shared" si="0"/>
        <v>InstructionsA26</v>
      </c>
      <c r="B25" s="127" t="s">
        <v>380</v>
      </c>
      <c r="C25" s="127" t="s">
        <v>515</v>
      </c>
      <c r="D25" s="127" t="s">
        <v>516</v>
      </c>
      <c r="E25" s="247" t="s">
        <v>517</v>
      </c>
      <c r="F25" s="289" t="s">
        <v>518</v>
      </c>
      <c r="G25" s="127" t="s">
        <v>519</v>
      </c>
      <c r="H25" s="295" t="s">
        <v>520</v>
      </c>
      <c r="I25" s="127" t="s">
        <v>18983</v>
      </c>
    </row>
    <row r="26" spans="1:9" ht="41">
      <c r="A26" s="127" t="str">
        <f t="shared" si="0"/>
        <v>InstructionsA27</v>
      </c>
      <c r="B26" s="127" t="s">
        <v>380</v>
      </c>
      <c r="C26" s="127" t="s">
        <v>521</v>
      </c>
      <c r="D26" s="127" t="s">
        <v>522</v>
      </c>
      <c r="E26" s="243" t="s">
        <v>523</v>
      </c>
      <c r="F26" s="244" t="s">
        <v>524</v>
      </c>
      <c r="G26" s="127" t="s">
        <v>525</v>
      </c>
      <c r="H26" s="295" t="s">
        <v>526</v>
      </c>
      <c r="I26" s="127" t="s">
        <v>18984</v>
      </c>
    </row>
    <row r="27" spans="1:9" ht="409.6">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59.7">
      <c r="A29" s="127" t="str">
        <f t="shared" si="1"/>
        <v>InstructionsA30</v>
      </c>
      <c r="B29" s="127" t="s">
        <v>380</v>
      </c>
      <c r="C29" s="127" t="s">
        <v>539</v>
      </c>
      <c r="D29" s="127" t="s">
        <v>540</v>
      </c>
      <c r="E29" s="247" t="s">
        <v>541</v>
      </c>
      <c r="F29" s="244" t="s">
        <v>542</v>
      </c>
      <c r="G29" s="127" t="s">
        <v>543</v>
      </c>
      <c r="H29" s="295" t="s">
        <v>544</v>
      </c>
      <c r="I29" s="127" t="s">
        <v>18987</v>
      </c>
    </row>
    <row r="30" spans="1:9" ht="218.7">
      <c r="A30" s="127" t="str">
        <f t="shared" si="1"/>
        <v>InstructionsA31</v>
      </c>
      <c r="B30" s="127" t="s">
        <v>380</v>
      </c>
      <c r="C30" s="127" t="s">
        <v>545</v>
      </c>
      <c r="D30" s="127" t="s">
        <v>546</v>
      </c>
      <c r="E30" s="243" t="s">
        <v>547</v>
      </c>
      <c r="F30" s="248" t="s">
        <v>548</v>
      </c>
      <c r="G30" s="127" t="s">
        <v>549</v>
      </c>
      <c r="H30" s="295" t="s">
        <v>550</v>
      </c>
      <c r="I30" s="127" t="s">
        <v>19198</v>
      </c>
    </row>
    <row r="31" spans="1:9" ht="109.35">
      <c r="A31" s="127" t="str">
        <f t="shared" si="1"/>
        <v>InstructionsA32</v>
      </c>
      <c r="B31" s="127" t="s">
        <v>380</v>
      </c>
      <c r="C31" s="127" t="s">
        <v>551</v>
      </c>
      <c r="D31" s="127" t="s">
        <v>552</v>
      </c>
      <c r="E31" s="247" t="s">
        <v>553</v>
      </c>
      <c r="F31" s="248" t="s">
        <v>554</v>
      </c>
      <c r="G31" s="127" t="s">
        <v>555</v>
      </c>
      <c r="H31" s="295" t="s">
        <v>556</v>
      </c>
      <c r="I31" s="127" t="s">
        <v>18988</v>
      </c>
    </row>
    <row r="32" spans="1:9" ht="109.3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273.35000000000002">
      <c r="A34" s="127" t="str">
        <f t="shared" si="0"/>
        <v>InstructionsA36</v>
      </c>
      <c r="B34" s="127" t="s">
        <v>380</v>
      </c>
      <c r="C34" s="127" t="s">
        <v>569</v>
      </c>
      <c r="D34" s="127" t="s">
        <v>570</v>
      </c>
      <c r="E34" s="243" t="s">
        <v>571</v>
      </c>
      <c r="F34" s="244" t="s">
        <v>572</v>
      </c>
      <c r="G34" s="252" t="s">
        <v>573</v>
      </c>
      <c r="H34" s="295" t="s">
        <v>574</v>
      </c>
      <c r="I34" s="127" t="s">
        <v>18991</v>
      </c>
    </row>
    <row r="35" spans="1:9" ht="68.349999999999994">
      <c r="A35" s="127" t="str">
        <f t="shared" si="0"/>
        <v>InstructionsA37</v>
      </c>
      <c r="B35" s="127" t="s">
        <v>380</v>
      </c>
      <c r="C35" s="127" t="s">
        <v>575</v>
      </c>
      <c r="D35" s="127" t="s">
        <v>576</v>
      </c>
      <c r="E35" s="247" t="s">
        <v>577</v>
      </c>
      <c r="F35" s="289" t="s">
        <v>578</v>
      </c>
      <c r="G35" s="127" t="s">
        <v>579</v>
      </c>
      <c r="H35" s="295" t="s">
        <v>580</v>
      </c>
      <c r="I35" s="127" t="s">
        <v>18992</v>
      </c>
    </row>
    <row r="36" spans="1:9" ht="82">
      <c r="A36" s="127" t="str">
        <f t="shared" si="0"/>
        <v>InstructionsA38</v>
      </c>
      <c r="B36" s="127" t="s">
        <v>380</v>
      </c>
      <c r="C36" s="127" t="s">
        <v>581</v>
      </c>
      <c r="D36" s="127" t="s">
        <v>582</v>
      </c>
      <c r="E36" s="247" t="s">
        <v>583</v>
      </c>
      <c r="F36" s="289" t="s">
        <v>584</v>
      </c>
      <c r="G36" s="127" t="s">
        <v>585</v>
      </c>
      <c r="H36" s="295" t="s">
        <v>586</v>
      </c>
      <c r="I36" s="127" t="s">
        <v>18993</v>
      </c>
    </row>
    <row r="37" spans="1:9" ht="164">
      <c r="A37" s="127" t="str">
        <f t="shared" si="0"/>
        <v>InstructionsA39</v>
      </c>
      <c r="B37" s="127" t="s">
        <v>380</v>
      </c>
      <c r="C37" s="127" t="s">
        <v>587</v>
      </c>
      <c r="D37" s="127" t="s">
        <v>588</v>
      </c>
      <c r="E37" s="247" t="s">
        <v>589</v>
      </c>
      <c r="F37" s="290" t="s">
        <v>590</v>
      </c>
      <c r="G37" s="127" t="s">
        <v>591</v>
      </c>
      <c r="H37" s="295" t="s">
        <v>592</v>
      </c>
      <c r="I37" s="127" t="s">
        <v>18994</v>
      </c>
    </row>
    <row r="38" spans="1:9" ht="191.35">
      <c r="A38" s="127" t="str">
        <f t="shared" si="0"/>
        <v>InstructionsA40</v>
      </c>
      <c r="B38" s="127" t="s">
        <v>380</v>
      </c>
      <c r="C38" s="127" t="s">
        <v>593</v>
      </c>
      <c r="D38" s="249" t="s">
        <v>594</v>
      </c>
      <c r="E38" s="250" t="s">
        <v>595</v>
      </c>
      <c r="F38" s="291" t="s">
        <v>596</v>
      </c>
      <c r="G38" s="249" t="s">
        <v>597</v>
      </c>
      <c r="H38" s="295" t="s">
        <v>598</v>
      </c>
      <c r="I38" s="127" t="s">
        <v>18995</v>
      </c>
    </row>
    <row r="39" spans="1:9" ht="232.35">
      <c r="A39" s="127" t="str">
        <f>B39&amp;C39</f>
        <v>InstructionsA41</v>
      </c>
      <c r="B39" s="127" t="s">
        <v>380</v>
      </c>
      <c r="C39" s="127" t="s">
        <v>599</v>
      </c>
      <c r="D39" s="249" t="s">
        <v>600</v>
      </c>
      <c r="E39" s="250" t="s">
        <v>601</v>
      </c>
      <c r="F39" s="291" t="s">
        <v>602</v>
      </c>
      <c r="G39" s="253" t="s">
        <v>603</v>
      </c>
      <c r="H39" s="299" t="s">
        <v>604</v>
      </c>
      <c r="I39" s="127" t="s">
        <v>18996</v>
      </c>
    </row>
    <row r="40" spans="1:9" ht="232.35">
      <c r="A40" s="127" t="str">
        <f>B40&amp;C40</f>
        <v>InstructionsA42</v>
      </c>
      <c r="B40" s="127" t="s">
        <v>380</v>
      </c>
      <c r="C40" s="127" t="s">
        <v>605</v>
      </c>
      <c r="D40" s="127" t="s">
        <v>606</v>
      </c>
      <c r="E40" s="243" t="s">
        <v>607</v>
      </c>
      <c r="F40" s="289" t="s">
        <v>608</v>
      </c>
      <c r="G40" s="127" t="s">
        <v>609</v>
      </c>
      <c r="H40" s="295" t="s">
        <v>610</v>
      </c>
      <c r="I40" s="127" t="s">
        <v>18997</v>
      </c>
    </row>
    <row r="41" spans="1:9" ht="82">
      <c r="A41" s="127" t="str">
        <f t="shared" si="0"/>
        <v>InstructionsA43</v>
      </c>
      <c r="B41" s="127" t="s">
        <v>380</v>
      </c>
      <c r="C41" s="127" t="s">
        <v>611</v>
      </c>
      <c r="D41" s="127" t="s">
        <v>612</v>
      </c>
      <c r="E41" s="243" t="s">
        <v>613</v>
      </c>
      <c r="F41" s="289" t="s">
        <v>614</v>
      </c>
      <c r="G41" s="127" t="s">
        <v>615</v>
      </c>
      <c r="H41" s="295" t="s">
        <v>616</v>
      </c>
      <c r="I41" s="127" t="s">
        <v>18998</v>
      </c>
    </row>
    <row r="42" spans="1:9" ht="68.349999999999994">
      <c r="A42" s="127" t="str">
        <f t="shared" si="0"/>
        <v>InstructionsA45</v>
      </c>
      <c r="B42" s="127" t="s">
        <v>380</v>
      </c>
      <c r="C42" s="127" t="s">
        <v>617</v>
      </c>
      <c r="D42" s="127" t="s">
        <v>618</v>
      </c>
      <c r="E42" s="243" t="s">
        <v>619</v>
      </c>
      <c r="F42" s="244" t="s">
        <v>620</v>
      </c>
      <c r="G42" s="127" t="s">
        <v>621</v>
      </c>
      <c r="H42" s="295" t="s">
        <v>622</v>
      </c>
      <c r="I42" s="127" t="s">
        <v>18999</v>
      </c>
    </row>
    <row r="43" spans="1:9" ht="95.7">
      <c r="A43" s="127" t="str">
        <f t="shared" si="0"/>
        <v>InstructionsA46</v>
      </c>
      <c r="B43" s="127" t="s">
        <v>380</v>
      </c>
      <c r="C43" s="127" t="s">
        <v>623</v>
      </c>
      <c r="D43" s="127" t="s">
        <v>624</v>
      </c>
      <c r="E43" s="247" t="s">
        <v>625</v>
      </c>
      <c r="F43" s="289" t="s">
        <v>626</v>
      </c>
      <c r="G43" s="252" t="s">
        <v>627</v>
      </c>
      <c r="H43" s="295" t="s">
        <v>628</v>
      </c>
      <c r="I43" s="127" t="s">
        <v>19000</v>
      </c>
    </row>
    <row r="44" spans="1:9" ht="68.349999999999994">
      <c r="A44" s="127" t="str">
        <f t="shared" si="0"/>
        <v>InstructionsA48</v>
      </c>
      <c r="B44" s="235" t="s">
        <v>380</v>
      </c>
      <c r="C44" s="127" t="s">
        <v>629</v>
      </c>
      <c r="D44" s="235" t="s">
        <v>630</v>
      </c>
      <c r="E44" s="243" t="s">
        <v>631</v>
      </c>
      <c r="F44" s="244" t="s">
        <v>632</v>
      </c>
      <c r="G44" s="254" t="s">
        <v>633</v>
      </c>
      <c r="H44" s="295" t="s">
        <v>634</v>
      </c>
      <c r="I44" s="127" t="s">
        <v>19001</v>
      </c>
    </row>
    <row r="45" spans="1:9" ht="54.7">
      <c r="A45" s="127" t="str">
        <f>B45&amp;C45</f>
        <v>InstructionsA49</v>
      </c>
      <c r="B45" s="127" t="s">
        <v>380</v>
      </c>
      <c r="C45" s="127" t="s">
        <v>635</v>
      </c>
      <c r="D45" s="127" t="s">
        <v>636</v>
      </c>
      <c r="E45" s="243" t="s">
        <v>637</v>
      </c>
      <c r="F45" s="244" t="s">
        <v>638</v>
      </c>
      <c r="G45" s="127" t="s">
        <v>639</v>
      </c>
      <c r="H45" s="298" t="s">
        <v>640</v>
      </c>
      <c r="I45" s="127" t="s">
        <v>19002</v>
      </c>
    </row>
    <row r="46" spans="1:9" ht="150.35">
      <c r="A46" s="127" t="str">
        <f t="shared" si="0"/>
        <v>InstructionsA50</v>
      </c>
      <c r="B46" s="127" t="s">
        <v>380</v>
      </c>
      <c r="C46" s="127" t="s">
        <v>641</v>
      </c>
      <c r="D46" s="127" t="s">
        <v>642</v>
      </c>
      <c r="E46" s="292" t="s">
        <v>643</v>
      </c>
      <c r="F46" s="289" t="s">
        <v>644</v>
      </c>
      <c r="G46" s="127" t="s">
        <v>645</v>
      </c>
      <c r="H46" s="295" t="s">
        <v>646</v>
      </c>
      <c r="I46" s="127" t="s">
        <v>19003</v>
      </c>
    </row>
    <row r="47" spans="1:9" ht="68.349999999999994">
      <c r="A47" s="127" t="str">
        <f t="shared" si="0"/>
        <v>InstructionsA51</v>
      </c>
      <c r="B47" s="127" t="s">
        <v>380</v>
      </c>
      <c r="C47" s="127" t="s">
        <v>647</v>
      </c>
      <c r="D47" s="127" t="s">
        <v>648</v>
      </c>
      <c r="E47" s="243" t="s">
        <v>649</v>
      </c>
      <c r="F47" s="244" t="s">
        <v>650</v>
      </c>
      <c r="G47" s="127" t="s">
        <v>651</v>
      </c>
      <c r="H47" s="295" t="s">
        <v>652</v>
      </c>
      <c r="I47" s="127" t="s">
        <v>19004</v>
      </c>
    </row>
    <row r="48" spans="1:9" ht="82">
      <c r="A48" s="127" t="str">
        <f t="shared" si="0"/>
        <v>InstructionsA52</v>
      </c>
      <c r="B48" s="127" t="s">
        <v>380</v>
      </c>
      <c r="C48" s="127" t="s">
        <v>653</v>
      </c>
      <c r="D48" s="127" t="s">
        <v>654</v>
      </c>
      <c r="E48" s="243" t="s">
        <v>655</v>
      </c>
      <c r="F48" s="244" t="s">
        <v>656</v>
      </c>
      <c r="G48" s="255" t="s">
        <v>657</v>
      </c>
      <c r="H48" s="295" t="s">
        <v>658</v>
      </c>
      <c r="I48" s="127" t="s">
        <v>19005</v>
      </c>
    </row>
    <row r="49" spans="1:9" ht="109.35">
      <c r="A49" s="127" t="str">
        <f>B49&amp;C49</f>
        <v>InstructionsA53</v>
      </c>
      <c r="B49" s="127" t="s">
        <v>380</v>
      </c>
      <c r="C49" s="127" t="s">
        <v>659</v>
      </c>
      <c r="D49" s="127" t="s">
        <v>660</v>
      </c>
      <c r="E49" s="243" t="s">
        <v>661</v>
      </c>
      <c r="F49" s="244" t="s">
        <v>662</v>
      </c>
      <c r="G49" s="255" t="s">
        <v>663</v>
      </c>
      <c r="H49" s="298" t="s">
        <v>664</v>
      </c>
      <c r="I49" s="127" t="s">
        <v>19006</v>
      </c>
    </row>
    <row r="50" spans="1:9" ht="68.349999999999994">
      <c r="A50" s="127" t="str">
        <f>B50&amp;C50</f>
        <v>InstructionsA54</v>
      </c>
      <c r="B50" s="127" t="s">
        <v>380</v>
      </c>
      <c r="C50" s="127" t="s">
        <v>665</v>
      </c>
      <c r="D50" s="127" t="s">
        <v>666</v>
      </c>
      <c r="E50" s="243" t="s">
        <v>667</v>
      </c>
      <c r="F50" s="244" t="s">
        <v>668</v>
      </c>
      <c r="G50" s="255" t="s">
        <v>669</v>
      </c>
      <c r="H50" s="295" t="s">
        <v>670</v>
      </c>
      <c r="I50" s="127" t="s">
        <v>19007</v>
      </c>
    </row>
    <row r="51" spans="1:9" ht="41">
      <c r="A51" s="127" t="str">
        <f t="shared" si="0"/>
        <v>InstructionsA55</v>
      </c>
      <c r="B51" s="127" t="s">
        <v>380</v>
      </c>
      <c r="C51" s="127" t="s">
        <v>671</v>
      </c>
      <c r="D51" s="127" t="s">
        <v>672</v>
      </c>
      <c r="E51" s="243" t="s">
        <v>673</v>
      </c>
      <c r="F51" s="244" t="s">
        <v>674</v>
      </c>
      <c r="G51" s="255" t="s">
        <v>675</v>
      </c>
      <c r="H51" s="295" t="s">
        <v>676</v>
      </c>
      <c r="I51" s="127" t="s">
        <v>19008</v>
      </c>
    </row>
    <row r="52" spans="1:9" ht="41">
      <c r="A52" s="127" t="str">
        <f t="shared" si="0"/>
        <v>InstructionsA56</v>
      </c>
      <c r="B52" s="127" t="s">
        <v>380</v>
      </c>
      <c r="C52" s="127" t="s">
        <v>677</v>
      </c>
      <c r="D52" s="127" t="s">
        <v>678</v>
      </c>
      <c r="E52" s="243" t="s">
        <v>679</v>
      </c>
      <c r="F52" s="244" t="s">
        <v>680</v>
      </c>
      <c r="G52" s="127" t="s">
        <v>681</v>
      </c>
      <c r="H52" s="295" t="s">
        <v>682</v>
      </c>
      <c r="I52" s="127" t="s">
        <v>19009</v>
      </c>
    </row>
    <row r="53" spans="1:9" ht="54.7">
      <c r="A53" s="127" t="str">
        <f t="shared" si="0"/>
        <v>InstructionsA57</v>
      </c>
      <c r="B53" s="127" t="s">
        <v>380</v>
      </c>
      <c r="C53" s="127" t="s">
        <v>683</v>
      </c>
      <c r="D53" s="127" t="s">
        <v>684</v>
      </c>
      <c r="E53" s="243" t="s">
        <v>685</v>
      </c>
      <c r="F53" s="244" t="s">
        <v>686</v>
      </c>
      <c r="G53" s="256" t="s">
        <v>687</v>
      </c>
      <c r="H53" s="295" t="s">
        <v>688</v>
      </c>
      <c r="I53" s="127" t="s">
        <v>19010</v>
      </c>
    </row>
    <row r="54" spans="1:9" ht="314.35000000000002">
      <c r="A54" s="127" t="str">
        <f t="shared" si="0"/>
        <v>InstructionsA58</v>
      </c>
      <c r="B54" s="127" t="s">
        <v>380</v>
      </c>
      <c r="C54" s="127" t="s">
        <v>689</v>
      </c>
      <c r="D54" s="127" t="s">
        <v>690</v>
      </c>
      <c r="E54" s="243" t="s">
        <v>691</v>
      </c>
      <c r="F54" s="244" t="s">
        <v>692</v>
      </c>
      <c r="G54" s="255" t="s">
        <v>693</v>
      </c>
      <c r="H54" s="295" t="s">
        <v>694</v>
      </c>
      <c r="I54" s="127" t="s">
        <v>19017</v>
      </c>
    </row>
    <row r="55" spans="1:9" ht="82">
      <c r="A55" s="127" t="str">
        <f t="shared" si="0"/>
        <v>InstructionsA59</v>
      </c>
      <c r="B55" s="127" t="s">
        <v>380</v>
      </c>
      <c r="C55" s="127" t="s">
        <v>695</v>
      </c>
      <c r="D55" s="127" t="s">
        <v>696</v>
      </c>
      <c r="E55" s="243" t="s">
        <v>697</v>
      </c>
      <c r="F55" s="244" t="s">
        <v>698</v>
      </c>
      <c r="G55" s="127" t="s">
        <v>699</v>
      </c>
      <c r="H55" s="295" t="s">
        <v>700</v>
      </c>
      <c r="I55" s="127" t="s">
        <v>19011</v>
      </c>
    </row>
    <row r="56" spans="1:9" ht="164">
      <c r="A56" s="127" t="str">
        <f t="shared" si="0"/>
        <v>InstructionsA60</v>
      </c>
      <c r="B56" s="127" t="s">
        <v>380</v>
      </c>
      <c r="C56" s="127" t="s">
        <v>701</v>
      </c>
      <c r="D56" s="127" t="s">
        <v>702</v>
      </c>
      <c r="E56" s="243" t="s">
        <v>703</v>
      </c>
      <c r="F56" s="244" t="s">
        <v>704</v>
      </c>
      <c r="G56" s="255" t="s">
        <v>705</v>
      </c>
      <c r="H56" s="295" t="s">
        <v>706</v>
      </c>
      <c r="I56" s="127" t="s">
        <v>19012</v>
      </c>
    </row>
    <row r="57" spans="1:9" ht="177.7">
      <c r="A57" s="127" t="str">
        <f t="shared" si="0"/>
        <v>InstructionsA61</v>
      </c>
      <c r="B57" s="127" t="s">
        <v>380</v>
      </c>
      <c r="C57" s="127" t="s">
        <v>707</v>
      </c>
      <c r="D57" s="127" t="s">
        <v>708</v>
      </c>
      <c r="E57" s="243" t="s">
        <v>709</v>
      </c>
      <c r="F57" s="244" t="s">
        <v>710</v>
      </c>
      <c r="G57" s="255" t="s">
        <v>711</v>
      </c>
      <c r="H57" s="295" t="s">
        <v>712</v>
      </c>
      <c r="I57" s="127" t="s">
        <v>19013</v>
      </c>
    </row>
    <row r="58" spans="1:9" ht="109.7">
      <c r="A58" s="127" t="str">
        <f>B58&amp;C58</f>
        <v>InstructionsA62</v>
      </c>
      <c r="B58" s="127" t="s">
        <v>380</v>
      </c>
      <c r="C58" s="127" t="s">
        <v>713</v>
      </c>
      <c r="D58" s="127" t="s">
        <v>714</v>
      </c>
      <c r="E58" s="292" t="s">
        <v>715</v>
      </c>
      <c r="F58" s="289" t="s">
        <v>716</v>
      </c>
      <c r="G58" s="255" t="s">
        <v>717</v>
      </c>
      <c r="H58" s="300" t="s">
        <v>718</v>
      </c>
      <c r="I58" s="127" t="s">
        <v>19014</v>
      </c>
    </row>
    <row r="59" spans="1:9" ht="43">
      <c r="A59" s="127" t="str">
        <f t="shared" si="0"/>
        <v>InstructionsA63</v>
      </c>
      <c r="B59" s="127" t="s">
        <v>380</v>
      </c>
      <c r="C59" s="127" t="s">
        <v>719</v>
      </c>
      <c r="D59" s="127" t="s">
        <v>720</v>
      </c>
      <c r="E59" s="243" t="s">
        <v>721</v>
      </c>
      <c r="F59" s="244" t="s">
        <v>722</v>
      </c>
      <c r="G59" s="127" t="s">
        <v>723</v>
      </c>
      <c r="H59" s="295" t="s">
        <v>724</v>
      </c>
      <c r="I59" s="127" t="s">
        <v>19015</v>
      </c>
    </row>
    <row r="60" spans="1:9" ht="184">
      <c r="A60" s="127" t="str">
        <f>B60&amp;C60</f>
        <v>InstructionsA65</v>
      </c>
      <c r="B60" s="127" t="s">
        <v>380</v>
      </c>
      <c r="C60" s="127" t="s">
        <v>725</v>
      </c>
      <c r="D60" s="127" t="s">
        <v>726</v>
      </c>
      <c r="E60" s="243" t="s">
        <v>727</v>
      </c>
      <c r="F60" s="244" t="s">
        <v>728</v>
      </c>
      <c r="G60" s="127" t="s">
        <v>729</v>
      </c>
      <c r="H60" s="298" t="s">
        <v>730</v>
      </c>
      <c r="I60" s="127" t="s">
        <v>19016</v>
      </c>
    </row>
    <row r="61" spans="1:9" ht="28.7">
      <c r="A61" s="127" t="str">
        <f t="shared" si="0"/>
        <v>InstructionsA67</v>
      </c>
      <c r="B61" s="127" t="s">
        <v>380</v>
      </c>
      <c r="C61" s="127" t="s">
        <v>731</v>
      </c>
      <c r="D61" s="127" t="s">
        <v>732</v>
      </c>
      <c r="E61" s="243" t="s">
        <v>733</v>
      </c>
      <c r="F61" s="244" t="s">
        <v>734</v>
      </c>
      <c r="G61" s="127" t="s">
        <v>735</v>
      </c>
      <c r="H61" s="298" t="s">
        <v>736</v>
      </c>
      <c r="I61" s="127" t="s">
        <v>19018</v>
      </c>
    </row>
    <row r="62" spans="1:9" ht="287">
      <c r="A62" s="127" t="str">
        <f t="shared" si="0"/>
        <v>InstructionsA68</v>
      </c>
      <c r="B62" s="127" t="s">
        <v>380</v>
      </c>
      <c r="C62" s="127" t="s">
        <v>737</v>
      </c>
      <c r="D62" s="127" t="s">
        <v>738</v>
      </c>
      <c r="E62" s="243" t="s">
        <v>739</v>
      </c>
      <c r="F62" s="244" t="s">
        <v>740</v>
      </c>
      <c r="G62" s="255" t="s">
        <v>741</v>
      </c>
      <c r="H62" s="295" t="s">
        <v>742</v>
      </c>
      <c r="I62" s="127" t="s">
        <v>19024</v>
      </c>
    </row>
    <row r="63" spans="1:9" ht="150.35">
      <c r="A63" s="127" t="str">
        <f t="shared" si="0"/>
        <v>InstructionsA69</v>
      </c>
      <c r="B63" s="127" t="s">
        <v>380</v>
      </c>
      <c r="C63" s="127" t="s">
        <v>743</v>
      </c>
      <c r="D63" s="127" t="s">
        <v>744</v>
      </c>
      <c r="E63" s="243" t="s">
        <v>745</v>
      </c>
      <c r="F63" s="244" t="s">
        <v>746</v>
      </c>
      <c r="G63" s="255" t="s">
        <v>747</v>
      </c>
      <c r="H63" s="295" t="s">
        <v>748</v>
      </c>
      <c r="I63" s="127" t="s">
        <v>19019</v>
      </c>
    </row>
    <row r="64" spans="1:9" ht="136.69999999999999">
      <c r="A64" s="127" t="str">
        <f t="shared" si="0"/>
        <v>InstructionsA70</v>
      </c>
      <c r="B64" s="127" t="s">
        <v>380</v>
      </c>
      <c r="C64" s="127" t="s">
        <v>749</v>
      </c>
      <c r="D64" s="127" t="s">
        <v>750</v>
      </c>
      <c r="E64" s="243" t="s">
        <v>751</v>
      </c>
      <c r="F64" s="244" t="s">
        <v>752</v>
      </c>
      <c r="G64" s="255" t="s">
        <v>753</v>
      </c>
      <c r="H64" s="295" t="s">
        <v>754</v>
      </c>
      <c r="I64" s="127" t="s">
        <v>19020</v>
      </c>
    </row>
    <row r="65" spans="1:9" ht="300.7">
      <c r="A65" s="127" t="str">
        <f t="shared" si="0"/>
        <v>InstructionsA71</v>
      </c>
      <c r="B65" s="127" t="s">
        <v>380</v>
      </c>
      <c r="C65" s="127" t="s">
        <v>755</v>
      </c>
      <c r="D65" s="127" t="s">
        <v>756</v>
      </c>
      <c r="E65" s="243" t="s">
        <v>757</v>
      </c>
      <c r="F65" s="244" t="s">
        <v>758</v>
      </c>
      <c r="G65" s="255" t="s">
        <v>759</v>
      </c>
      <c r="H65" s="295" t="s">
        <v>760</v>
      </c>
      <c r="I65" s="127" t="s">
        <v>19021</v>
      </c>
    </row>
    <row r="66" spans="1:9" ht="95.7">
      <c r="A66" s="127" t="str">
        <f t="shared" si="0"/>
        <v>InstructionsA72</v>
      </c>
      <c r="B66" s="127" t="s">
        <v>380</v>
      </c>
      <c r="C66" s="127" t="s">
        <v>761</v>
      </c>
      <c r="D66" s="127" t="s">
        <v>762</v>
      </c>
      <c r="E66" s="243" t="s">
        <v>763</v>
      </c>
      <c r="F66" s="244" t="s">
        <v>764</v>
      </c>
      <c r="G66" s="255" t="s">
        <v>765</v>
      </c>
      <c r="H66" s="295" t="s">
        <v>766</v>
      </c>
      <c r="I66" s="127" t="s">
        <v>19022</v>
      </c>
    </row>
    <row r="67" spans="1:9" ht="41">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ht="13.7">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ht="13.7">
      <c r="A77" s="127" t="str">
        <f t="shared" si="4"/>
        <v>DefinitionsB11</v>
      </c>
      <c r="B77" s="127" t="s">
        <v>773</v>
      </c>
      <c r="C77" s="127" t="s">
        <v>826</v>
      </c>
      <c r="D77" s="249" t="s">
        <v>827</v>
      </c>
      <c r="E77" s="249" t="s">
        <v>828</v>
      </c>
      <c r="F77" s="258" t="s">
        <v>829</v>
      </c>
      <c r="G77" s="259" t="s">
        <v>830</v>
      </c>
      <c r="H77" s="295" t="s">
        <v>831</v>
      </c>
      <c r="I77" s="189" t="s">
        <v>19038</v>
      </c>
    </row>
    <row r="78" spans="1:9" ht="13.7">
      <c r="A78" s="127" t="str">
        <f t="shared" si="4"/>
        <v>DefinitionsB12</v>
      </c>
      <c r="B78" s="127" t="s">
        <v>773</v>
      </c>
      <c r="C78" s="127" t="s">
        <v>832</v>
      </c>
      <c r="D78" s="249" t="s">
        <v>833</v>
      </c>
      <c r="E78" s="249" t="s">
        <v>834</v>
      </c>
      <c r="F78" s="258" t="s">
        <v>835</v>
      </c>
      <c r="G78" s="260" t="s">
        <v>836</v>
      </c>
      <c r="H78" s="295" t="s">
        <v>19036</v>
      </c>
      <c r="I78" s="189" t="s">
        <v>19039</v>
      </c>
    </row>
    <row r="79" spans="1:9" ht="13.7">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6">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6">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2">
      <c r="A89" s="127" t="str">
        <f t="shared" si="4"/>
        <v>DefinitionsC3</v>
      </c>
      <c r="B89" s="127" t="s">
        <v>773</v>
      </c>
      <c r="C89" s="127" t="s">
        <v>894</v>
      </c>
      <c r="D89" s="127" t="s">
        <v>895</v>
      </c>
      <c r="E89" s="243" t="s">
        <v>896</v>
      </c>
      <c r="F89" s="244" t="s">
        <v>897</v>
      </c>
      <c r="G89" s="127" t="s">
        <v>898</v>
      </c>
      <c r="H89" s="295" t="s">
        <v>899</v>
      </c>
      <c r="I89" s="127" t="s">
        <v>19045</v>
      </c>
    </row>
    <row r="90" spans="1:9" ht="54.7">
      <c r="A90" s="127" t="str">
        <f t="shared" ref="A90" si="5">B90&amp;C90</f>
        <v>DefinitionsC4</v>
      </c>
      <c r="B90" s="127" t="s">
        <v>773</v>
      </c>
      <c r="C90" s="127" t="s">
        <v>900</v>
      </c>
      <c r="D90" s="127" t="s">
        <v>901</v>
      </c>
      <c r="E90" s="247" t="s">
        <v>902</v>
      </c>
      <c r="F90" s="244" t="s">
        <v>903</v>
      </c>
      <c r="G90" s="252" t="s">
        <v>904</v>
      </c>
      <c r="H90" s="295" t="s">
        <v>905</v>
      </c>
      <c r="I90" s="309" t="s">
        <v>19041</v>
      </c>
    </row>
    <row r="91" spans="1:9" ht="177.7">
      <c r="A91" s="127" t="str">
        <f>B91&amp;C91</f>
        <v>DefinitionsC5</v>
      </c>
      <c r="B91" s="127" t="s">
        <v>773</v>
      </c>
      <c r="C91" s="127" t="s">
        <v>906</v>
      </c>
      <c r="D91" s="127" t="s">
        <v>907</v>
      </c>
      <c r="E91" s="243" t="s">
        <v>908</v>
      </c>
      <c r="F91" s="244" t="s">
        <v>909</v>
      </c>
      <c r="G91" s="127" t="s">
        <v>910</v>
      </c>
      <c r="H91" s="295" t="s">
        <v>911</v>
      </c>
      <c r="I91" s="127" t="s">
        <v>19046</v>
      </c>
    </row>
    <row r="92" spans="1:9" ht="150.35">
      <c r="A92" s="127" t="str">
        <f>B92&amp;C92</f>
        <v>DefinitionsC6</v>
      </c>
      <c r="B92" s="127" t="s">
        <v>773</v>
      </c>
      <c r="C92" s="127" t="s">
        <v>912</v>
      </c>
      <c r="D92" s="127" t="s">
        <v>913</v>
      </c>
      <c r="E92" s="243" t="s">
        <v>914</v>
      </c>
      <c r="F92" s="244" t="s">
        <v>915</v>
      </c>
      <c r="G92" s="127" t="s">
        <v>916</v>
      </c>
      <c r="H92" s="295" t="s">
        <v>917</v>
      </c>
      <c r="I92" s="127" t="s">
        <v>19047</v>
      </c>
    </row>
    <row r="93" spans="1:9" ht="127">
      <c r="A93" s="127" t="str">
        <f t="shared" si="4"/>
        <v>DefinitionsC7</v>
      </c>
      <c r="B93" s="127" t="s">
        <v>773</v>
      </c>
      <c r="C93" s="127" t="s">
        <v>918</v>
      </c>
      <c r="D93" s="127" t="s">
        <v>919</v>
      </c>
      <c r="E93" s="243" t="s">
        <v>920</v>
      </c>
      <c r="F93" s="244" t="s">
        <v>921</v>
      </c>
      <c r="G93" s="127" t="s">
        <v>922</v>
      </c>
      <c r="H93" s="295" t="s">
        <v>923</v>
      </c>
      <c r="I93" s="127" t="s">
        <v>19051</v>
      </c>
    </row>
    <row r="94" spans="1:9" ht="136.69999999999999">
      <c r="A94" s="127" t="str">
        <f t="shared" si="4"/>
        <v>DefinitionsC8</v>
      </c>
      <c r="B94" s="127" t="s">
        <v>773</v>
      </c>
      <c r="C94" s="127" t="s">
        <v>924</v>
      </c>
      <c r="D94" s="127" t="s">
        <v>925</v>
      </c>
      <c r="E94" s="243" t="s">
        <v>926</v>
      </c>
      <c r="F94" s="244" t="s">
        <v>927</v>
      </c>
      <c r="G94" s="127" t="s">
        <v>928</v>
      </c>
      <c r="H94" s="295" t="s">
        <v>929</v>
      </c>
      <c r="I94" s="127" t="s">
        <v>19049</v>
      </c>
    </row>
    <row r="95" spans="1:9" ht="68.349999999999994">
      <c r="A95" s="127" t="str">
        <f t="shared" si="4"/>
        <v>DefinitionsC9</v>
      </c>
      <c r="B95" s="127" t="s">
        <v>773</v>
      </c>
      <c r="C95" s="127" t="s">
        <v>930</v>
      </c>
      <c r="D95" s="127" t="s">
        <v>931</v>
      </c>
      <c r="E95" s="243" t="s">
        <v>932</v>
      </c>
      <c r="F95" s="244" t="s">
        <v>933</v>
      </c>
      <c r="G95" s="127" t="s">
        <v>934</v>
      </c>
      <c r="H95" s="295" t="s">
        <v>935</v>
      </c>
      <c r="I95" s="127" t="s">
        <v>19050</v>
      </c>
    </row>
    <row r="96" spans="1:9" ht="20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36.69999999999999">
      <c r="A99" s="127" t="str">
        <f t="shared" si="4"/>
        <v>DefinitionsC13</v>
      </c>
      <c r="B99" s="127" t="s">
        <v>773</v>
      </c>
      <c r="C99" s="127" t="s">
        <v>954</v>
      </c>
      <c r="D99" s="249" t="s">
        <v>955</v>
      </c>
      <c r="E99" s="250" t="s">
        <v>956</v>
      </c>
      <c r="F99" s="258" t="s">
        <v>957</v>
      </c>
      <c r="G99" s="260" t="s">
        <v>958</v>
      </c>
      <c r="H99" s="295" t="s">
        <v>959</v>
      </c>
      <c r="I99" s="127" t="s">
        <v>19053</v>
      </c>
    </row>
    <row r="100" spans="1:9" ht="68.349999999999994">
      <c r="A100" s="127" t="str">
        <f>B100&amp;C100</f>
        <v>DefinitionsC14</v>
      </c>
      <c r="B100" s="127" t="s">
        <v>773</v>
      </c>
      <c r="C100" s="127" t="s">
        <v>960</v>
      </c>
      <c r="D100" s="127" t="s">
        <v>961</v>
      </c>
      <c r="E100" s="243" t="s">
        <v>962</v>
      </c>
      <c r="F100" s="244" t="s">
        <v>963</v>
      </c>
      <c r="G100" s="127" t="s">
        <v>964</v>
      </c>
      <c r="H100" s="295" t="s">
        <v>965</v>
      </c>
      <c r="I100" s="127" t="s">
        <v>19054</v>
      </c>
    </row>
    <row r="101" spans="1:9" ht="164">
      <c r="A101" s="127" t="str">
        <f t="shared" si="4"/>
        <v>DefinitionsC15</v>
      </c>
      <c r="B101" s="127" t="s">
        <v>773</v>
      </c>
      <c r="C101" s="127" t="s">
        <v>966</v>
      </c>
      <c r="D101" s="127" t="s">
        <v>967</v>
      </c>
      <c r="E101" s="247" t="s">
        <v>968</v>
      </c>
      <c r="F101" s="244" t="s">
        <v>969</v>
      </c>
      <c r="G101" s="245" t="s">
        <v>970</v>
      </c>
      <c r="H101" s="295" t="s">
        <v>971</v>
      </c>
      <c r="I101" s="127" t="s">
        <v>19055</v>
      </c>
    </row>
    <row r="102" spans="1:9" ht="68.349999999999994">
      <c r="A102" s="127" t="str">
        <f>B102&amp;C102</f>
        <v>DefinitionsC16</v>
      </c>
      <c r="B102" s="127" t="s">
        <v>773</v>
      </c>
      <c r="C102" s="127" t="s">
        <v>972</v>
      </c>
      <c r="D102" s="127" t="s">
        <v>973</v>
      </c>
      <c r="E102" s="243" t="s">
        <v>974</v>
      </c>
      <c r="F102" s="244" t="s">
        <v>975</v>
      </c>
      <c r="G102" s="127" t="s">
        <v>976</v>
      </c>
      <c r="H102" s="295" t="s">
        <v>977</v>
      </c>
      <c r="I102" s="127" t="s">
        <v>19056</v>
      </c>
    </row>
    <row r="103" spans="1:9" ht="95.7">
      <c r="A103" s="127" t="str">
        <f>B103&amp;C103</f>
        <v>DefinitionsC17</v>
      </c>
      <c r="B103" s="127" t="s">
        <v>773</v>
      </c>
      <c r="C103" s="127" t="s">
        <v>978</v>
      </c>
      <c r="D103" s="127" t="s">
        <v>979</v>
      </c>
      <c r="E103" s="243" t="s">
        <v>980</v>
      </c>
      <c r="F103" s="244" t="s">
        <v>981</v>
      </c>
      <c r="G103" s="127" t="s">
        <v>982</v>
      </c>
      <c r="H103" s="295" t="s">
        <v>983</v>
      </c>
      <c r="I103" s="127" t="s">
        <v>19057</v>
      </c>
    </row>
    <row r="104" spans="1:9" ht="259.7">
      <c r="A104" s="127" t="str">
        <f>B104&amp;C104</f>
        <v>DefinitionsC18</v>
      </c>
      <c r="B104" s="127" t="s">
        <v>773</v>
      </c>
      <c r="C104" s="127" t="s">
        <v>984</v>
      </c>
      <c r="D104" s="127" t="s">
        <v>985</v>
      </c>
      <c r="E104" s="243" t="s">
        <v>986</v>
      </c>
      <c r="F104" s="244" t="s">
        <v>987</v>
      </c>
      <c r="G104" s="127" t="s">
        <v>988</v>
      </c>
      <c r="H104" s="295" t="s">
        <v>989</v>
      </c>
      <c r="I104" s="127" t="s">
        <v>19058</v>
      </c>
    </row>
    <row r="105" spans="1:9" ht="259.7">
      <c r="A105" s="127" t="str">
        <f>B105&amp;C105</f>
        <v>DefinitionsC19</v>
      </c>
      <c r="B105" s="127" t="s">
        <v>773</v>
      </c>
      <c r="C105" s="127" t="s">
        <v>990</v>
      </c>
      <c r="D105" s="127" t="s">
        <v>991</v>
      </c>
      <c r="E105" s="243" t="s">
        <v>992</v>
      </c>
      <c r="F105" s="244" t="s">
        <v>993</v>
      </c>
      <c r="G105" s="252" t="s">
        <v>994</v>
      </c>
      <c r="H105" s="295" t="s">
        <v>995</v>
      </c>
      <c r="I105" s="127" t="s">
        <v>19059</v>
      </c>
    </row>
    <row r="106" spans="1:9" ht="136.69999999999999">
      <c r="A106" s="127" t="str">
        <f t="shared" si="4"/>
        <v>DefinitionsC20</v>
      </c>
      <c r="B106" s="127" t="s">
        <v>773</v>
      </c>
      <c r="C106" s="127" t="s">
        <v>996</v>
      </c>
      <c r="D106" s="249" t="s">
        <v>997</v>
      </c>
      <c r="E106" s="250" t="s">
        <v>998</v>
      </c>
      <c r="F106" s="258" t="s">
        <v>999</v>
      </c>
      <c r="G106" s="259" t="s">
        <v>1000</v>
      </c>
      <c r="H106" s="295" t="s">
        <v>1001</v>
      </c>
      <c r="I106" s="127" t="s">
        <v>19060</v>
      </c>
    </row>
    <row r="107" spans="1:9" ht="82">
      <c r="A107" s="127" t="str">
        <f>B107&amp;C107</f>
        <v>DefinitionsC21</v>
      </c>
      <c r="B107" s="127" t="s">
        <v>773</v>
      </c>
      <c r="C107" s="127" t="s">
        <v>1002</v>
      </c>
      <c r="D107" s="127" t="s">
        <v>1003</v>
      </c>
      <c r="E107" s="243" t="s">
        <v>1004</v>
      </c>
      <c r="F107" s="244" t="s">
        <v>1005</v>
      </c>
      <c r="G107" s="127" t="s">
        <v>1006</v>
      </c>
      <c r="H107" s="295" t="s">
        <v>1007</v>
      </c>
      <c r="I107" s="127" t="s">
        <v>19061</v>
      </c>
    </row>
    <row r="108" spans="1:9" ht="27.35">
      <c r="A108" s="127" t="str">
        <f t="shared" si="4"/>
        <v>DeclarationD2</v>
      </c>
      <c r="B108" s="127" t="s">
        <v>1008</v>
      </c>
      <c r="C108" s="127" t="s">
        <v>1009</v>
      </c>
      <c r="D108" s="249" t="s">
        <v>1010</v>
      </c>
      <c r="E108" s="249" t="s">
        <v>1011</v>
      </c>
      <c r="F108" s="257" t="s">
        <v>1012</v>
      </c>
      <c r="G108" s="262" t="s">
        <v>1013</v>
      </c>
      <c r="H108" s="295" t="s">
        <v>1014</v>
      </c>
      <c r="I108" s="189" t="s">
        <v>19063</v>
      </c>
    </row>
    <row r="109" spans="1:9" ht="27.35">
      <c r="A109" s="127" t="str">
        <f t="shared" si="4"/>
        <v>DeclarationF3</v>
      </c>
      <c r="B109" s="127" t="s">
        <v>1008</v>
      </c>
      <c r="C109" s="127" t="s">
        <v>1015</v>
      </c>
      <c r="D109" s="127" t="s">
        <v>1016</v>
      </c>
      <c r="E109" s="243" t="s">
        <v>1017</v>
      </c>
      <c r="F109" s="244" t="s">
        <v>1018</v>
      </c>
      <c r="G109" s="127" t="s">
        <v>1019</v>
      </c>
      <c r="H109" s="295" t="s">
        <v>1020</v>
      </c>
      <c r="I109" s="127" t="s">
        <v>19064</v>
      </c>
    </row>
    <row r="110" spans="1:9" ht="27.3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1">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35">
      <c r="A115" s="127" t="str">
        <f t="shared" si="4"/>
        <v>DeclarationB8</v>
      </c>
      <c r="B115" s="127" t="s">
        <v>1008</v>
      </c>
      <c r="C115" s="127" t="s">
        <v>809</v>
      </c>
      <c r="D115" s="127" t="s">
        <v>1048</v>
      </c>
      <c r="E115" s="243" t="s">
        <v>1049</v>
      </c>
      <c r="F115" s="244" t="s">
        <v>1050</v>
      </c>
      <c r="G115" s="127" t="s">
        <v>1051</v>
      </c>
      <c r="H115" s="295" t="s">
        <v>1052</v>
      </c>
      <c r="I115" s="127" t="s">
        <v>19069</v>
      </c>
    </row>
    <row r="116" spans="1:9" ht="15.35">
      <c r="A116" s="127" t="str">
        <f t="shared" si="4"/>
        <v>DeclarationB9</v>
      </c>
      <c r="B116" s="127" t="s">
        <v>1008</v>
      </c>
      <c r="C116" s="127" t="s">
        <v>815</v>
      </c>
      <c r="D116" s="127" t="s">
        <v>1053</v>
      </c>
      <c r="E116" s="243" t="s">
        <v>1054</v>
      </c>
      <c r="F116" s="244" t="s">
        <v>1055</v>
      </c>
      <c r="G116" s="127" t="s">
        <v>1056</v>
      </c>
      <c r="H116" s="295" t="s">
        <v>1057</v>
      </c>
      <c r="I116" s="127" t="s">
        <v>19070</v>
      </c>
    </row>
    <row r="117" spans="1:9">
      <c r="A117" s="127" t="str">
        <f t="shared" si="4"/>
        <v>DeclarationB10</v>
      </c>
      <c r="B117" s="127" t="s">
        <v>1008</v>
      </c>
      <c r="C117" s="127" t="s">
        <v>821</v>
      </c>
      <c r="D117" s="127" t="s">
        <v>1058</v>
      </c>
      <c r="E117" s="243" t="s">
        <v>1059</v>
      </c>
      <c r="F117" s="244" t="s">
        <v>1060</v>
      </c>
      <c r="G117" s="127" t="s">
        <v>1061</v>
      </c>
      <c r="H117" s="295" t="s">
        <v>1062</v>
      </c>
      <c r="I117" s="127" t="s">
        <v>19071</v>
      </c>
    </row>
    <row r="118" spans="1:9" ht="27.35">
      <c r="A118" s="127" t="str">
        <f>B118&amp;C118</f>
        <v>DeclarationB10A</v>
      </c>
      <c r="B118" s="127" t="s">
        <v>1008</v>
      </c>
      <c r="C118" s="127" t="s">
        <v>1063</v>
      </c>
      <c r="D118" s="127" t="s">
        <v>1058</v>
      </c>
      <c r="E118" s="243" t="s">
        <v>1059</v>
      </c>
      <c r="F118" s="244" t="s">
        <v>1064</v>
      </c>
      <c r="G118" s="127" t="s">
        <v>1061</v>
      </c>
      <c r="H118" s="295" t="s">
        <v>1062</v>
      </c>
      <c r="I118" s="127" t="s">
        <v>19071</v>
      </c>
    </row>
    <row r="119" spans="1:9" ht="27.35">
      <c r="A119" s="127" t="str">
        <f>B119&amp;C119</f>
        <v>DeclarationB10C</v>
      </c>
      <c r="B119" s="127" t="s">
        <v>1008</v>
      </c>
      <c r="C119" s="127" t="s">
        <v>1065</v>
      </c>
      <c r="D119" s="127" t="s">
        <v>1066</v>
      </c>
      <c r="E119" s="243" t="s">
        <v>1067</v>
      </c>
      <c r="F119" s="244" t="s">
        <v>1068</v>
      </c>
      <c r="G119" s="127" t="s">
        <v>1069</v>
      </c>
      <c r="H119" s="295" t="s">
        <v>1070</v>
      </c>
      <c r="I119" s="127" t="s">
        <v>19072</v>
      </c>
    </row>
    <row r="120" spans="1:9" ht="27.35">
      <c r="A120" s="127" t="str">
        <f>B120&amp;C120</f>
        <v>DeclarationB10B</v>
      </c>
      <c r="B120" s="127" t="s">
        <v>1008</v>
      </c>
      <c r="C120" s="127" t="s">
        <v>1071</v>
      </c>
      <c r="D120" s="127" t="s">
        <v>1072</v>
      </c>
      <c r="E120" s="243" t="s">
        <v>1073</v>
      </c>
      <c r="F120" s="244" t="s">
        <v>1074</v>
      </c>
      <c r="G120" s="127" t="s">
        <v>1075</v>
      </c>
      <c r="H120" s="295" t="s">
        <v>1076</v>
      </c>
      <c r="I120" s="127" t="s">
        <v>19073</v>
      </c>
    </row>
    <row r="121" spans="1:9" ht="27.35">
      <c r="A121" s="127" t="str">
        <f>B121&amp;C121</f>
        <v>DeclarationD11</v>
      </c>
      <c r="B121" s="127" t="s">
        <v>1008</v>
      </c>
      <c r="C121" s="127" t="s">
        <v>1077</v>
      </c>
      <c r="D121" s="127" t="s">
        <v>1078</v>
      </c>
      <c r="E121" s="243" t="s">
        <v>1079</v>
      </c>
      <c r="F121" s="244" t="s">
        <v>1080</v>
      </c>
      <c r="G121" s="127" t="s">
        <v>1081</v>
      </c>
      <c r="H121" s="295" t="s">
        <v>1082</v>
      </c>
      <c r="I121" s="127" t="s">
        <v>19074</v>
      </c>
    </row>
    <row r="122" spans="1:9">
      <c r="A122" s="127" t="str">
        <f t="shared" si="4"/>
        <v>DeclarationB12</v>
      </c>
      <c r="B122" s="127" t="s">
        <v>1008</v>
      </c>
      <c r="C122" s="127" t="s">
        <v>832</v>
      </c>
      <c r="D122" s="127" t="s">
        <v>1083</v>
      </c>
      <c r="E122" s="243" t="s">
        <v>1084</v>
      </c>
      <c r="F122" s="244" t="s">
        <v>1085</v>
      </c>
      <c r="G122" s="127" t="s">
        <v>1086</v>
      </c>
      <c r="H122" s="295" t="s">
        <v>1087</v>
      </c>
      <c r="I122" s="127" t="s">
        <v>19075</v>
      </c>
    </row>
    <row r="123" spans="1:9">
      <c r="A123" s="127" t="str">
        <f t="shared" si="4"/>
        <v>DeclarationB13</v>
      </c>
      <c r="B123" s="127" t="s">
        <v>1008</v>
      </c>
      <c r="C123" s="127" t="s">
        <v>837</v>
      </c>
      <c r="D123" s="127" t="s">
        <v>1088</v>
      </c>
      <c r="E123" s="243" t="s">
        <v>1089</v>
      </c>
      <c r="F123" s="244" t="s">
        <v>1090</v>
      </c>
      <c r="G123" s="127" t="s">
        <v>1091</v>
      </c>
      <c r="H123" s="295" t="s">
        <v>1092</v>
      </c>
      <c r="I123" s="127" t="s">
        <v>19076</v>
      </c>
    </row>
    <row r="124" spans="1:9">
      <c r="A124" s="127" t="str">
        <f t="shared" si="4"/>
        <v>DeclarationB14</v>
      </c>
      <c r="B124" s="127" t="s">
        <v>1008</v>
      </c>
      <c r="C124" s="127" t="s">
        <v>843</v>
      </c>
      <c r="D124" s="127" t="s">
        <v>1093</v>
      </c>
      <c r="E124" s="243" t="s">
        <v>1094</v>
      </c>
      <c r="F124" s="244" t="s">
        <v>1095</v>
      </c>
      <c r="G124" s="127" t="s">
        <v>1096</v>
      </c>
      <c r="H124" s="295" t="s">
        <v>1097</v>
      </c>
      <c r="I124" s="127" t="s">
        <v>19077</v>
      </c>
    </row>
    <row r="125" spans="1:9">
      <c r="A125" s="127" t="str">
        <f t="shared" si="4"/>
        <v>DeclarationB15</v>
      </c>
      <c r="B125" s="127" t="s">
        <v>1008</v>
      </c>
      <c r="C125" s="127" t="s">
        <v>849</v>
      </c>
      <c r="D125" s="127" t="s">
        <v>1098</v>
      </c>
      <c r="E125" s="243" t="s">
        <v>1099</v>
      </c>
      <c r="F125" s="244" t="s">
        <v>1100</v>
      </c>
      <c r="G125" s="127" t="s">
        <v>1101</v>
      </c>
      <c r="H125" s="295" t="s">
        <v>1102</v>
      </c>
      <c r="I125" s="127" t="s">
        <v>19078</v>
      </c>
    </row>
    <row r="126" spans="1:9">
      <c r="A126" s="127" t="str">
        <f t="shared" si="4"/>
        <v>DeclarationB16</v>
      </c>
      <c r="B126" s="127" t="s">
        <v>1008</v>
      </c>
      <c r="C126" s="127" t="s">
        <v>855</v>
      </c>
      <c r="D126" s="127" t="s">
        <v>1103</v>
      </c>
      <c r="E126" s="243" t="s">
        <v>1104</v>
      </c>
      <c r="F126" s="244" t="s">
        <v>1105</v>
      </c>
      <c r="G126" s="127" t="s">
        <v>1106</v>
      </c>
      <c r="H126" s="295" t="s">
        <v>1107</v>
      </c>
      <c r="I126" s="127" t="s">
        <v>19079</v>
      </c>
    </row>
    <row r="127" spans="1:9">
      <c r="A127" s="127" t="str">
        <f t="shared" si="4"/>
        <v>DeclarationB17</v>
      </c>
      <c r="B127" s="127" t="s">
        <v>1008</v>
      </c>
      <c r="C127" s="127" t="s">
        <v>858</v>
      </c>
      <c r="D127" s="127" t="s">
        <v>1108</v>
      </c>
      <c r="E127" s="243" t="s">
        <v>1109</v>
      </c>
      <c r="F127" s="244" t="s">
        <v>1110</v>
      </c>
      <c r="G127" s="127" t="s">
        <v>1111</v>
      </c>
      <c r="H127" s="295" t="s">
        <v>1112</v>
      </c>
      <c r="I127" s="127" t="s">
        <v>19080</v>
      </c>
    </row>
    <row r="128" spans="1:9">
      <c r="A128" s="127" t="str">
        <f t="shared" si="4"/>
        <v>DeclarationB18</v>
      </c>
      <c r="B128" s="127" t="s">
        <v>1008</v>
      </c>
      <c r="C128" s="127" t="s">
        <v>864</v>
      </c>
      <c r="D128" s="127" t="s">
        <v>1113</v>
      </c>
      <c r="E128" s="243" t="s">
        <v>1114</v>
      </c>
      <c r="F128" s="244" t="s">
        <v>1115</v>
      </c>
      <c r="G128" s="127" t="s">
        <v>1116</v>
      </c>
      <c r="H128" s="295" t="s">
        <v>1117</v>
      </c>
      <c r="I128" s="127" t="s">
        <v>19081</v>
      </c>
    </row>
    <row r="129" spans="1:9">
      <c r="A129" s="127" t="str">
        <f t="shared" si="4"/>
        <v>DeclarationB19</v>
      </c>
      <c r="B129" s="127" t="s">
        <v>1008</v>
      </c>
      <c r="C129" s="127" t="s">
        <v>870</v>
      </c>
      <c r="D129" s="127" t="s">
        <v>1118</v>
      </c>
      <c r="E129" s="243" t="s">
        <v>1119</v>
      </c>
      <c r="F129" s="244" t="s">
        <v>1120</v>
      </c>
      <c r="G129" s="127" t="s">
        <v>1121</v>
      </c>
      <c r="H129" s="295" t="s">
        <v>1122</v>
      </c>
      <c r="I129" s="127" t="s">
        <v>19082</v>
      </c>
    </row>
    <row r="130" spans="1:9">
      <c r="A130" s="127" t="str">
        <f t="shared" si="4"/>
        <v>DeclarationB20</v>
      </c>
      <c r="B130" s="127" t="s">
        <v>1008</v>
      </c>
      <c r="C130" s="127" t="s">
        <v>876</v>
      </c>
      <c r="D130" s="127" t="s">
        <v>1123</v>
      </c>
      <c r="E130" s="243" t="s">
        <v>1124</v>
      </c>
      <c r="F130" s="244" t="s">
        <v>1125</v>
      </c>
      <c r="G130" s="127" t="s">
        <v>1126</v>
      </c>
      <c r="H130" s="295" t="s">
        <v>1127</v>
      </c>
      <c r="I130" s="127" t="s">
        <v>19083</v>
      </c>
    </row>
    <row r="131" spans="1:9">
      <c r="A131" s="127" t="str">
        <f t="shared" si="4"/>
        <v>DeclarationB21</v>
      </c>
      <c r="B131" s="127" t="s">
        <v>1008</v>
      </c>
      <c r="C131" s="127" t="s">
        <v>882</v>
      </c>
      <c r="D131" s="127" t="s">
        <v>1128</v>
      </c>
      <c r="E131" s="243" t="s">
        <v>1129</v>
      </c>
      <c r="F131" s="244" t="s">
        <v>1130</v>
      </c>
      <c r="G131" s="127" t="s">
        <v>1131</v>
      </c>
      <c r="H131" s="295" t="s">
        <v>1132</v>
      </c>
      <c r="I131" s="127" t="s">
        <v>19084</v>
      </c>
    </row>
    <row r="132" spans="1:9">
      <c r="A132" s="127" t="str">
        <f t="shared" si="4"/>
        <v>DeclarationB22</v>
      </c>
      <c r="B132" s="127" t="s">
        <v>1008</v>
      </c>
      <c r="C132" s="127" t="s">
        <v>1133</v>
      </c>
      <c r="D132" s="127" t="s">
        <v>1134</v>
      </c>
      <c r="E132" s="243" t="s">
        <v>1135</v>
      </c>
      <c r="F132" s="244" t="s">
        <v>1136</v>
      </c>
      <c r="G132" s="127" t="s">
        <v>1137</v>
      </c>
      <c r="H132" s="295" t="s">
        <v>1138</v>
      </c>
      <c r="I132" s="127" t="s">
        <v>19085</v>
      </c>
    </row>
    <row r="133" spans="1:9" ht="27.35">
      <c r="A133" s="127" t="str">
        <f t="shared" si="4"/>
        <v>DeclarationB24</v>
      </c>
      <c r="B133" s="127" t="s">
        <v>1008</v>
      </c>
      <c r="C133" s="127" t="s">
        <v>1139</v>
      </c>
      <c r="D133" s="127" t="s">
        <v>1140</v>
      </c>
      <c r="E133" s="243" t="s">
        <v>1141</v>
      </c>
      <c r="F133" s="244" t="s">
        <v>1142</v>
      </c>
      <c r="G133" s="127" t="s">
        <v>1143</v>
      </c>
      <c r="H133" s="295" t="s">
        <v>1144</v>
      </c>
      <c r="I133" s="127" t="s">
        <v>19086</v>
      </c>
    </row>
    <row r="134" spans="1:9" ht="50">
      <c r="A134" s="127" t="str">
        <f>B134&amp;C134</f>
        <v>DeclarationB25</v>
      </c>
      <c r="B134" s="127" t="s">
        <v>1008</v>
      </c>
      <c r="C134" s="127" t="s">
        <v>1145</v>
      </c>
      <c r="D134" s="127" t="s">
        <v>1146</v>
      </c>
      <c r="E134" s="243" t="s">
        <v>1147</v>
      </c>
      <c r="F134" s="289" t="s">
        <v>1148</v>
      </c>
      <c r="G134" s="127" t="s">
        <v>1149</v>
      </c>
      <c r="H134" s="295" t="s">
        <v>1150</v>
      </c>
      <c r="I134" s="127" t="s">
        <v>19087</v>
      </c>
    </row>
    <row r="135" spans="1:9" ht="27.35">
      <c r="A135" s="127" t="str">
        <f>B135&amp;C135</f>
        <v>DeclarationB31</v>
      </c>
      <c r="B135" s="127" t="s">
        <v>1008</v>
      </c>
      <c r="C135" s="127" t="s">
        <v>1151</v>
      </c>
      <c r="D135" s="127" t="s">
        <v>1152</v>
      </c>
      <c r="E135" s="127" t="s">
        <v>1153</v>
      </c>
      <c r="F135" s="289" t="s">
        <v>1154</v>
      </c>
      <c r="G135" s="127" t="s">
        <v>1155</v>
      </c>
      <c r="H135" s="295" t="s">
        <v>1156</v>
      </c>
      <c r="I135" s="127" t="s">
        <v>19088</v>
      </c>
    </row>
    <row r="136" spans="1:9" ht="68.349999999999994">
      <c r="A136" s="127" t="str">
        <f t="shared" si="4"/>
        <v>DeclarationB37</v>
      </c>
      <c r="B136" s="127" t="s">
        <v>1008</v>
      </c>
      <c r="C136" s="127" t="s">
        <v>1157</v>
      </c>
      <c r="D136" s="127" t="s">
        <v>1158</v>
      </c>
      <c r="E136" s="127" t="s">
        <v>1159</v>
      </c>
      <c r="F136" s="244" t="s">
        <v>1160</v>
      </c>
      <c r="G136" s="127" t="s">
        <v>1161</v>
      </c>
      <c r="H136" s="295" t="s">
        <v>1162</v>
      </c>
      <c r="I136" s="127" t="s">
        <v>19090</v>
      </c>
    </row>
    <row r="137" spans="1:9" ht="28.7">
      <c r="A137" s="127" t="str">
        <f t="shared" si="4"/>
        <v>DeclarationB43</v>
      </c>
      <c r="B137" s="127" t="s">
        <v>1008</v>
      </c>
      <c r="C137" s="127" t="s">
        <v>1163</v>
      </c>
      <c r="D137" s="127" t="s">
        <v>1164</v>
      </c>
      <c r="E137" s="243" t="s">
        <v>1165</v>
      </c>
      <c r="F137" s="244" t="s">
        <v>1166</v>
      </c>
      <c r="G137" s="127" t="s">
        <v>1167</v>
      </c>
      <c r="H137" s="295" t="s">
        <v>1168</v>
      </c>
      <c r="I137" s="127" t="s">
        <v>19091</v>
      </c>
    </row>
    <row r="138" spans="1:9" ht="28.7">
      <c r="A138" s="127" t="str">
        <f t="shared" si="4"/>
        <v>DeclarationB49</v>
      </c>
      <c r="B138" s="127" t="s">
        <v>1008</v>
      </c>
      <c r="C138" s="127" t="s">
        <v>1169</v>
      </c>
      <c r="D138" s="127" t="s">
        <v>1170</v>
      </c>
      <c r="E138" s="243" t="s">
        <v>1171</v>
      </c>
      <c r="F138" s="289" t="s">
        <v>1172</v>
      </c>
      <c r="G138" s="127" t="s">
        <v>1173</v>
      </c>
      <c r="H138" s="295" t="s">
        <v>1174</v>
      </c>
      <c r="I138" s="127" t="s">
        <v>19195</v>
      </c>
    </row>
    <row r="139" spans="1:9" ht="41">
      <c r="A139" s="127" t="str">
        <f t="shared" si="4"/>
        <v>DeclarationB55</v>
      </c>
      <c r="B139" s="127" t="s">
        <v>1008</v>
      </c>
      <c r="C139" s="127" t="s">
        <v>1175</v>
      </c>
      <c r="D139" s="127" t="s">
        <v>1176</v>
      </c>
      <c r="E139" s="247" t="s">
        <v>1177</v>
      </c>
      <c r="F139" s="244" t="s">
        <v>1178</v>
      </c>
      <c r="G139" s="127" t="s">
        <v>1179</v>
      </c>
      <c r="H139" s="295" t="s">
        <v>1180</v>
      </c>
      <c r="I139" s="127" t="s">
        <v>19196</v>
      </c>
    </row>
    <row r="140" spans="1:9" ht="54.7">
      <c r="A140" s="127" t="str">
        <f t="shared" si="4"/>
        <v>DeclarationB61</v>
      </c>
      <c r="B140" s="127" t="s">
        <v>1008</v>
      </c>
      <c r="C140" s="127" t="s">
        <v>1181</v>
      </c>
      <c r="D140" s="127" t="s">
        <v>1182</v>
      </c>
      <c r="E140" s="247" t="s">
        <v>1183</v>
      </c>
      <c r="F140" s="244" t="s">
        <v>1184</v>
      </c>
      <c r="G140" s="127" t="s">
        <v>1185</v>
      </c>
      <c r="H140" s="295" t="s">
        <v>1186</v>
      </c>
      <c r="I140" s="127" t="s">
        <v>19197</v>
      </c>
    </row>
    <row r="141" spans="1:9">
      <c r="A141" s="127" t="str">
        <f t="shared" si="4"/>
        <v>DeclarationB67</v>
      </c>
      <c r="B141" s="127" t="s">
        <v>1008</v>
      </c>
      <c r="C141" s="127" t="s">
        <v>1187</v>
      </c>
      <c r="D141" s="127" t="s">
        <v>1188</v>
      </c>
      <c r="E141" s="243" t="s">
        <v>1189</v>
      </c>
      <c r="F141" s="244" t="s">
        <v>1190</v>
      </c>
      <c r="G141" s="127" t="s">
        <v>1191</v>
      </c>
      <c r="H141" s="295" t="s">
        <v>1192</v>
      </c>
      <c r="I141" s="127" t="s">
        <v>19101</v>
      </c>
    </row>
    <row r="142" spans="1:9" ht="27.35">
      <c r="A142" s="127" t="str">
        <f t="shared" si="4"/>
        <v>DeclarationB69</v>
      </c>
      <c r="B142" s="127" t="s">
        <v>1008</v>
      </c>
      <c r="C142" s="127" t="s">
        <v>1193</v>
      </c>
      <c r="D142" s="127" t="s">
        <v>1194</v>
      </c>
      <c r="E142" s="243" t="s">
        <v>12697</v>
      </c>
      <c r="F142" s="289" t="s">
        <v>1195</v>
      </c>
      <c r="G142" s="127" t="s">
        <v>1196</v>
      </c>
      <c r="H142" s="295" t="s">
        <v>1197</v>
      </c>
      <c r="I142" s="127" t="s">
        <v>19095</v>
      </c>
    </row>
    <row r="143" spans="1:9" ht="54.7">
      <c r="A143" s="127" t="str">
        <f t="shared" si="4"/>
        <v>DeclarationB71</v>
      </c>
      <c r="B143" s="127" t="s">
        <v>1008</v>
      </c>
      <c r="C143" s="127" t="s">
        <v>1198</v>
      </c>
      <c r="D143" s="127" t="s">
        <v>1199</v>
      </c>
      <c r="E143" s="243" t="s">
        <v>12698</v>
      </c>
      <c r="F143" s="244" t="s">
        <v>1200</v>
      </c>
      <c r="G143" s="127" t="s">
        <v>1201</v>
      </c>
      <c r="H143" s="295" t="s">
        <v>1202</v>
      </c>
      <c r="I143" s="127" t="s">
        <v>19096</v>
      </c>
    </row>
    <row r="144" spans="1:9" ht="41">
      <c r="A144" s="127" t="str">
        <f t="shared" ref="A144:A177" si="6">B144&amp;C144</f>
        <v>Declaration</v>
      </c>
      <c r="B144" s="127" t="s">
        <v>1008</v>
      </c>
      <c r="D144" s="127" t="s">
        <v>1203</v>
      </c>
      <c r="E144" s="243" t="s">
        <v>1204</v>
      </c>
      <c r="F144" s="264" t="s">
        <v>1205</v>
      </c>
      <c r="G144" s="127" t="s">
        <v>1206</v>
      </c>
      <c r="H144" s="295" t="s">
        <v>1207</v>
      </c>
      <c r="I144" s="127"/>
    </row>
    <row r="145" spans="1:9" ht="82">
      <c r="A145" s="127" t="str">
        <f t="shared" si="6"/>
        <v>DeclarationB73</v>
      </c>
      <c r="B145" s="127" t="s">
        <v>1008</v>
      </c>
      <c r="C145" s="127" t="s">
        <v>1208</v>
      </c>
      <c r="D145" s="127" t="s">
        <v>1209</v>
      </c>
      <c r="E145" s="247" t="s">
        <v>1210</v>
      </c>
      <c r="F145" s="244" t="s">
        <v>1211</v>
      </c>
      <c r="G145" s="127" t="s">
        <v>1212</v>
      </c>
      <c r="H145" s="295" t="s">
        <v>1213</v>
      </c>
      <c r="I145" s="127" t="s">
        <v>19097</v>
      </c>
    </row>
    <row r="146" spans="1:9" ht="27.35">
      <c r="A146" s="127" t="str">
        <f t="shared" si="6"/>
        <v>DeclarationB77</v>
      </c>
      <c r="B146" s="127" t="s">
        <v>1008</v>
      </c>
      <c r="C146" s="127" t="s">
        <v>1214</v>
      </c>
      <c r="D146" s="127" t="s">
        <v>1215</v>
      </c>
      <c r="E146" s="243" t="s">
        <v>12699</v>
      </c>
      <c r="F146" s="244" t="s">
        <v>1216</v>
      </c>
      <c r="G146" s="127" t="s">
        <v>1217</v>
      </c>
      <c r="H146" s="301" t="s">
        <v>1218</v>
      </c>
      <c r="I146" s="127" t="s">
        <v>19089</v>
      </c>
    </row>
    <row r="147" spans="1:9" ht="41">
      <c r="A147" s="127" t="str">
        <f t="shared" si="6"/>
        <v>DeclarationB79</v>
      </c>
      <c r="B147" s="127" t="s">
        <v>1008</v>
      </c>
      <c r="C147" s="127" t="s">
        <v>1219</v>
      </c>
      <c r="D147" s="127" t="s">
        <v>1220</v>
      </c>
      <c r="E147" s="247" t="s">
        <v>1221</v>
      </c>
      <c r="F147" s="289" t="s">
        <v>1222</v>
      </c>
      <c r="G147" s="127" t="s">
        <v>1223</v>
      </c>
      <c r="H147" s="295" t="s">
        <v>1224</v>
      </c>
      <c r="I147" s="127" t="s">
        <v>19094</v>
      </c>
    </row>
    <row r="148" spans="1:9" ht="41">
      <c r="A148" s="127" t="str">
        <f t="shared" si="6"/>
        <v>DeclarationB81</v>
      </c>
      <c r="B148" s="127" t="s">
        <v>1008</v>
      </c>
      <c r="C148" s="127" t="s">
        <v>1225</v>
      </c>
      <c r="D148" s="127" t="s">
        <v>1226</v>
      </c>
      <c r="E148" s="243" t="s">
        <v>12700</v>
      </c>
      <c r="F148" s="244" t="s">
        <v>1227</v>
      </c>
      <c r="G148" s="127" t="s">
        <v>1228</v>
      </c>
      <c r="H148" s="295" t="s">
        <v>1229</v>
      </c>
      <c r="I148" s="127" t="s">
        <v>19093</v>
      </c>
    </row>
    <row r="149" spans="1:9" ht="28.7">
      <c r="A149" s="127" t="str">
        <f t="shared" si="6"/>
        <v>DeclarationB83</v>
      </c>
      <c r="B149" s="127" t="s">
        <v>1008</v>
      </c>
      <c r="C149" s="127" t="s">
        <v>1230</v>
      </c>
      <c r="D149" s="127" t="s">
        <v>1231</v>
      </c>
      <c r="E149" s="243" t="s">
        <v>1232</v>
      </c>
      <c r="F149" s="244" t="s">
        <v>1233</v>
      </c>
      <c r="G149" s="127" t="s">
        <v>1234</v>
      </c>
      <c r="H149" s="301" t="s">
        <v>1235</v>
      </c>
      <c r="I149" s="127" t="s">
        <v>19092</v>
      </c>
    </row>
    <row r="150" spans="1:9">
      <c r="A150" s="127" t="str">
        <f t="shared" si="6"/>
        <v>DeclarationD25</v>
      </c>
      <c r="B150" s="127" t="s">
        <v>1008</v>
      </c>
      <c r="C150" s="127" t="s">
        <v>1236</v>
      </c>
      <c r="D150" s="127" t="s">
        <v>1237</v>
      </c>
      <c r="E150" s="243" t="s">
        <v>1238</v>
      </c>
      <c r="F150" s="244" t="s">
        <v>1238</v>
      </c>
      <c r="G150" s="127" t="s">
        <v>1239</v>
      </c>
      <c r="H150" s="295" t="s">
        <v>1240</v>
      </c>
      <c r="I150" s="127" t="s">
        <v>19102</v>
      </c>
    </row>
    <row r="151" spans="1:9">
      <c r="A151" s="127" t="str">
        <f t="shared" si="6"/>
        <v>DeclarationB68</v>
      </c>
      <c r="B151" s="127" t="s">
        <v>1008</v>
      </c>
      <c r="C151" s="127" t="s">
        <v>1241</v>
      </c>
      <c r="D151" s="127" t="s">
        <v>1242</v>
      </c>
      <c r="E151" s="243" t="s">
        <v>1243</v>
      </c>
      <c r="F151" s="244" t="s">
        <v>1244</v>
      </c>
      <c r="G151" s="127" t="s">
        <v>1245</v>
      </c>
      <c r="H151" s="295" t="s">
        <v>1242</v>
      </c>
      <c r="I151" s="127" t="s">
        <v>19103</v>
      </c>
    </row>
    <row r="152" spans="1:9">
      <c r="A152" s="127" t="str">
        <f t="shared" si="6"/>
        <v>DeclarationG25</v>
      </c>
      <c r="B152" s="127" t="s">
        <v>1008</v>
      </c>
      <c r="C152" s="127" t="s">
        <v>1246</v>
      </c>
      <c r="D152" s="127" t="s">
        <v>1247</v>
      </c>
      <c r="E152" s="243" t="s">
        <v>1248</v>
      </c>
      <c r="F152" s="244" t="s">
        <v>1249</v>
      </c>
      <c r="G152" s="127" t="s">
        <v>1250</v>
      </c>
      <c r="H152" s="295" t="s">
        <v>1251</v>
      </c>
      <c r="I152" s="189" t="s">
        <v>19104</v>
      </c>
    </row>
    <row r="153" spans="1:9">
      <c r="A153" s="127" t="str">
        <f t="shared" si="6"/>
        <v>DeclarationB26</v>
      </c>
      <c r="B153" s="127" t="s">
        <v>1008</v>
      </c>
      <c r="C153" s="127" t="s">
        <v>1252</v>
      </c>
      <c r="D153" s="127" t="s">
        <v>43</v>
      </c>
      <c r="E153" s="243" t="s">
        <v>1253</v>
      </c>
      <c r="F153" s="244" t="s">
        <v>1254</v>
      </c>
      <c r="G153" s="127" t="s">
        <v>1255</v>
      </c>
      <c r="H153" s="295" t="s">
        <v>43</v>
      </c>
      <c r="I153" s="189" t="s">
        <v>43</v>
      </c>
    </row>
    <row r="154" spans="1:9">
      <c r="A154" s="127" t="str">
        <f t="shared" si="6"/>
        <v>DeclarationB27</v>
      </c>
      <c r="B154" s="127" t="s">
        <v>1008</v>
      </c>
      <c r="C154" s="127" t="s">
        <v>1256</v>
      </c>
      <c r="D154" s="127" t="s">
        <v>44</v>
      </c>
      <c r="E154" s="243" t="s">
        <v>12673</v>
      </c>
      <c r="F154" s="265" t="s">
        <v>1257</v>
      </c>
      <c r="G154" t="s">
        <v>12672</v>
      </c>
      <c r="H154" s="295" t="s">
        <v>44</v>
      </c>
      <c r="I154" s="189" t="s">
        <v>19105</v>
      </c>
    </row>
    <row r="155" spans="1:9">
      <c r="A155" s="127" t="str">
        <f t="shared" si="6"/>
        <v>DeclarationB28</v>
      </c>
      <c r="B155" s="127" t="s">
        <v>1008</v>
      </c>
      <c r="C155" s="127" t="s">
        <v>1258</v>
      </c>
      <c r="G155"/>
      <c r="H155" s="295"/>
    </row>
    <row r="156" spans="1:9">
      <c r="A156" s="127" t="str">
        <f t="shared" si="6"/>
        <v>DeclarationB29</v>
      </c>
      <c r="B156" s="127" t="s">
        <v>1008</v>
      </c>
      <c r="C156" s="127" t="s">
        <v>1259</v>
      </c>
      <c r="G156"/>
      <c r="H156" s="295"/>
    </row>
    <row r="157" spans="1:9">
      <c r="A157" s="127" t="str">
        <f t="shared" si="6"/>
        <v>DeclarationB32</v>
      </c>
      <c r="B157" s="127" t="s">
        <v>1008</v>
      </c>
      <c r="C157" s="127" t="s">
        <v>1260</v>
      </c>
      <c r="D157" s="127" t="s">
        <v>43</v>
      </c>
      <c r="E157" s="243" t="s">
        <v>1253</v>
      </c>
      <c r="F157" s="244" t="s">
        <v>1254</v>
      </c>
      <c r="G157" s="127" t="s">
        <v>1255</v>
      </c>
      <c r="H157" s="295" t="s">
        <v>43</v>
      </c>
      <c r="I157" s="189" t="s">
        <v>43</v>
      </c>
    </row>
    <row r="158" spans="1:9">
      <c r="A158" s="127" t="str">
        <f t="shared" si="6"/>
        <v>DeclarationB33</v>
      </c>
      <c r="B158" s="127" t="s">
        <v>1008</v>
      </c>
      <c r="C158" s="127" t="s">
        <v>1261</v>
      </c>
      <c r="D158" s="127" t="s">
        <v>44</v>
      </c>
      <c r="E158" s="243" t="s">
        <v>12673</v>
      </c>
      <c r="F158" s="265" t="s">
        <v>1257</v>
      </c>
      <c r="G158" t="s">
        <v>12672</v>
      </c>
      <c r="H158" s="295" t="s">
        <v>44</v>
      </c>
      <c r="I158" s="189" t="s">
        <v>19105</v>
      </c>
    </row>
    <row r="159" spans="1:9">
      <c r="A159" s="127" t="str">
        <f t="shared" si="6"/>
        <v>DeclarationB34</v>
      </c>
      <c r="B159" s="127" t="s">
        <v>1008</v>
      </c>
      <c r="C159" s="127" t="s">
        <v>1262</v>
      </c>
      <c r="G159"/>
      <c r="H159" s="295"/>
    </row>
    <row r="160" spans="1:9">
      <c r="A160" s="127" t="str">
        <f t="shared" si="6"/>
        <v>DeclarationB35</v>
      </c>
      <c r="B160" s="127" t="s">
        <v>1008</v>
      </c>
      <c r="C160" s="127" t="s">
        <v>1263</v>
      </c>
      <c r="G160"/>
      <c r="H160" s="295"/>
    </row>
    <row r="161" spans="1:9">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c r="A162" s="127" t="str">
        <f t="shared" si="7"/>
        <v>DeclarationB39</v>
      </c>
      <c r="B162" s="127" t="s">
        <v>1008</v>
      </c>
      <c r="C162" s="127" t="s">
        <v>1265</v>
      </c>
      <c r="D162" s="127" t="s">
        <v>44</v>
      </c>
      <c r="E162" s="243" t="s">
        <v>12673</v>
      </c>
      <c r="F162" s="265" t="s">
        <v>1257</v>
      </c>
      <c r="G162" t="s">
        <v>12672</v>
      </c>
      <c r="H162" s="295" t="s">
        <v>44</v>
      </c>
      <c r="I162" s="189" t="s">
        <v>19105</v>
      </c>
    </row>
    <row r="163" spans="1:9">
      <c r="A163" s="127" t="str">
        <f t="shared" si="7"/>
        <v>DeclarationB40</v>
      </c>
      <c r="B163" s="127" t="s">
        <v>1008</v>
      </c>
      <c r="C163" s="127" t="s">
        <v>1266</v>
      </c>
      <c r="G163"/>
      <c r="H163" s="295"/>
    </row>
    <row r="164" spans="1:9">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c r="A166" s="127" t="str">
        <f t="shared" si="6"/>
        <v>DeclarationB86</v>
      </c>
      <c r="B166" s="127" t="s">
        <v>1008</v>
      </c>
      <c r="C166" s="127" t="s">
        <v>1274</v>
      </c>
      <c r="D166" s="127" t="s">
        <v>25</v>
      </c>
      <c r="E166" s="243" t="s">
        <v>1275</v>
      </c>
      <c r="F166" s="244" t="s">
        <v>1276</v>
      </c>
      <c r="G166" s="127" t="s">
        <v>1277</v>
      </c>
      <c r="H166" s="295" t="s">
        <v>1278</v>
      </c>
      <c r="I166" s="189" t="s">
        <v>19107</v>
      </c>
    </row>
    <row r="167" spans="1:9">
      <c r="A167" s="127" t="str">
        <f t="shared" si="6"/>
        <v>DeclarationB87</v>
      </c>
      <c r="B167" s="127" t="s">
        <v>1008</v>
      </c>
      <c r="C167" s="127" t="s">
        <v>1279</v>
      </c>
      <c r="D167" s="127" t="s">
        <v>22</v>
      </c>
      <c r="E167" s="243" t="s">
        <v>1280</v>
      </c>
      <c r="F167" s="244" t="s">
        <v>1281</v>
      </c>
      <c r="G167" s="127" t="s">
        <v>1282</v>
      </c>
      <c r="H167" s="295" t="s">
        <v>22</v>
      </c>
      <c r="I167" s="189" t="s">
        <v>19108</v>
      </c>
    </row>
    <row r="168" spans="1:9">
      <c r="A168" s="127" t="str">
        <f t="shared" si="6"/>
        <v>DeclarationB88</v>
      </c>
      <c r="B168" s="127" t="s">
        <v>1008</v>
      </c>
      <c r="C168" s="127" t="s">
        <v>1283</v>
      </c>
      <c r="D168" s="127" t="s">
        <v>26</v>
      </c>
      <c r="E168" s="243" t="s">
        <v>1284</v>
      </c>
      <c r="F168" s="244" t="s">
        <v>1285</v>
      </c>
      <c r="G168" s="127" t="s">
        <v>1286</v>
      </c>
      <c r="H168" s="295" t="s">
        <v>1287</v>
      </c>
      <c r="I168" s="189" t="s">
        <v>19109</v>
      </c>
    </row>
    <row r="169" spans="1:9" ht="13.7">
      <c r="A169" s="127" t="str">
        <f t="shared" si="6"/>
        <v>DeclarationB89</v>
      </c>
      <c r="B169" s="127" t="s">
        <v>1008</v>
      </c>
      <c r="C169" s="127" t="s">
        <v>1288</v>
      </c>
      <c r="D169" s="266">
        <v>1</v>
      </c>
      <c r="E169" s="266">
        <v>1</v>
      </c>
      <c r="F169" s="267">
        <v>1</v>
      </c>
      <c r="G169" s="266">
        <v>1</v>
      </c>
      <c r="H169" s="295" t="s">
        <v>1289</v>
      </c>
      <c r="I169" s="311">
        <v>1</v>
      </c>
    </row>
    <row r="170" spans="1:9">
      <c r="A170" s="127" t="str">
        <f t="shared" si="6"/>
        <v>DeclarationB90</v>
      </c>
      <c r="B170" s="127" t="s">
        <v>1008</v>
      </c>
      <c r="C170" s="127" t="s">
        <v>1290</v>
      </c>
      <c r="D170" s="268" t="s">
        <v>29</v>
      </c>
      <c r="E170" s="269" t="s">
        <v>1291</v>
      </c>
      <c r="F170" s="293" t="s">
        <v>1292</v>
      </c>
      <c r="G170" s="270" t="s">
        <v>1293</v>
      </c>
      <c r="H170" s="297" t="s">
        <v>1294</v>
      </c>
      <c r="I170" s="189" t="s">
        <v>19110</v>
      </c>
    </row>
    <row r="171" spans="1:9">
      <c r="A171" s="127" t="str">
        <f t="shared" si="6"/>
        <v>DeclarationB91</v>
      </c>
      <c r="B171" s="127" t="s">
        <v>1008</v>
      </c>
      <c r="C171" s="127" t="s">
        <v>1295</v>
      </c>
      <c r="D171" s="268" t="s">
        <v>30</v>
      </c>
      <c r="E171" s="269" t="s">
        <v>1296</v>
      </c>
      <c r="F171" s="293" t="s">
        <v>1297</v>
      </c>
      <c r="G171" s="270" t="s">
        <v>1298</v>
      </c>
      <c r="H171" s="297" t="s">
        <v>1299</v>
      </c>
      <c r="I171" s="189" t="s">
        <v>19111</v>
      </c>
    </row>
    <row r="172" spans="1:9">
      <c r="A172" s="127" t="str">
        <f t="shared" si="6"/>
        <v>DeclarationB92</v>
      </c>
      <c r="B172" s="127" t="s">
        <v>1008</v>
      </c>
      <c r="C172" s="127" t="s">
        <v>1300</v>
      </c>
      <c r="D172" s="268" t="s">
        <v>31</v>
      </c>
      <c r="E172" s="269" t="s">
        <v>1301</v>
      </c>
      <c r="F172" s="293" t="s">
        <v>1302</v>
      </c>
      <c r="G172" s="270" t="s">
        <v>1303</v>
      </c>
      <c r="H172" s="297" t="s">
        <v>1304</v>
      </c>
      <c r="I172" s="189" t="s">
        <v>19112</v>
      </c>
    </row>
    <row r="173" spans="1:9">
      <c r="A173" s="127" t="str">
        <f t="shared" si="6"/>
        <v>DeclarationB93</v>
      </c>
      <c r="B173" s="127" t="s">
        <v>1008</v>
      </c>
      <c r="C173" s="127" t="s">
        <v>1305</v>
      </c>
      <c r="D173" s="268" t="s">
        <v>32</v>
      </c>
      <c r="E173" s="269" t="s">
        <v>1306</v>
      </c>
      <c r="F173" s="293" t="s">
        <v>1307</v>
      </c>
      <c r="G173" s="270" t="s">
        <v>1308</v>
      </c>
      <c r="H173" s="297" t="s">
        <v>1309</v>
      </c>
      <c r="I173" s="189" t="s">
        <v>19113</v>
      </c>
    </row>
    <row r="174" spans="1:9">
      <c r="A174" s="127" t="str">
        <f t="shared" si="6"/>
        <v>DeclarationB94</v>
      </c>
      <c r="B174" s="127" t="s">
        <v>1008</v>
      </c>
      <c r="C174" s="127" t="s">
        <v>1310</v>
      </c>
      <c r="D174" s="127" t="s">
        <v>33</v>
      </c>
      <c r="E174" s="243" t="s">
        <v>1311</v>
      </c>
      <c r="F174" s="244" t="s">
        <v>1312</v>
      </c>
      <c r="G174" s="127" t="s">
        <v>1313</v>
      </c>
      <c r="H174" s="295" t="s">
        <v>1314</v>
      </c>
      <c r="I174" s="189" t="s">
        <v>19114</v>
      </c>
    </row>
    <row r="175" spans="1:9" ht="27.35">
      <c r="A175" s="127" t="str">
        <f t="shared" si="6"/>
        <v>DeclarationB95</v>
      </c>
      <c r="B175" s="127" t="s">
        <v>1008</v>
      </c>
      <c r="C175" s="127" t="s">
        <v>1315</v>
      </c>
      <c r="D175" s="271" t="s">
        <v>1316</v>
      </c>
      <c r="E175" s="272" t="s">
        <v>1317</v>
      </c>
      <c r="F175" s="289" t="s">
        <v>1318</v>
      </c>
      <c r="G175" s="273" t="s">
        <v>1319</v>
      </c>
      <c r="H175" s="295" t="s">
        <v>1320</v>
      </c>
      <c r="I175" s="127" t="s">
        <v>19116</v>
      </c>
    </row>
    <row r="176" spans="1:9" ht="27.35">
      <c r="A176" s="127" t="str">
        <f t="shared" si="6"/>
        <v>DeclarationB96</v>
      </c>
      <c r="B176" s="127" t="s">
        <v>1008</v>
      </c>
      <c r="C176" s="127" t="s">
        <v>1321</v>
      </c>
      <c r="D176" s="271" t="s">
        <v>1322</v>
      </c>
      <c r="E176" s="263" t="s">
        <v>1323</v>
      </c>
      <c r="F176" s="289" t="s">
        <v>1324</v>
      </c>
      <c r="G176" s="274" t="s">
        <v>1325</v>
      </c>
      <c r="H176" s="295" t="s">
        <v>1326</v>
      </c>
      <c r="I176" s="127" t="s">
        <v>19115</v>
      </c>
    </row>
    <row r="177" spans="1:9">
      <c r="A177" s="127" t="str">
        <f t="shared" si="6"/>
        <v>DeclarationB97</v>
      </c>
      <c r="B177" s="127" t="s">
        <v>1008</v>
      </c>
      <c r="C177" s="127" t="s">
        <v>1327</v>
      </c>
      <c r="D177" s="271" t="s">
        <v>22</v>
      </c>
      <c r="E177" s="263" t="s">
        <v>1280</v>
      </c>
      <c r="F177" s="289" t="s">
        <v>1281</v>
      </c>
      <c r="G177" s="275" t="s">
        <v>1282</v>
      </c>
      <c r="H177" s="295" t="s">
        <v>1328</v>
      </c>
      <c r="I177" s="127" t="s">
        <v>19108</v>
      </c>
    </row>
    <row r="178" spans="1:9" ht="409.6">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7.35">
      <c r="A179" s="127" t="str">
        <f t="shared" si="8"/>
        <v>Smelter Look-upA4</v>
      </c>
      <c r="B179" s="127" t="s">
        <v>1329</v>
      </c>
      <c r="C179" s="127" t="s">
        <v>1335</v>
      </c>
      <c r="D179" s="127" t="s">
        <v>1336</v>
      </c>
      <c r="E179" s="276"/>
      <c r="F179" s="244" t="s">
        <v>1337</v>
      </c>
      <c r="G179" s="127" t="s">
        <v>1338</v>
      </c>
      <c r="H179" s="295" t="s">
        <v>1339</v>
      </c>
      <c r="I179" s="189" t="s">
        <v>19118</v>
      </c>
    </row>
    <row r="180" spans="1:9" ht="27.35">
      <c r="A180" s="127" t="str">
        <f t="shared" si="8"/>
        <v>Smelter Look-upB4</v>
      </c>
      <c r="B180" s="127" t="s">
        <v>1329</v>
      </c>
      <c r="C180" s="127" t="s">
        <v>785</v>
      </c>
      <c r="D180" s="127" t="s">
        <v>1340</v>
      </c>
      <c r="E180" s="292" t="s">
        <v>1341</v>
      </c>
      <c r="F180" s="289" t="s">
        <v>1342</v>
      </c>
      <c r="G180" s="127" t="s">
        <v>1343</v>
      </c>
      <c r="H180" s="295" t="s">
        <v>1344</v>
      </c>
      <c r="I180" s="189" t="s">
        <v>19119</v>
      </c>
    </row>
    <row r="181" spans="1:9" ht="27.35">
      <c r="A181" s="127" t="str">
        <f t="shared" si="8"/>
        <v>Smelter Look-up</v>
      </c>
      <c r="B181" s="127" t="s">
        <v>1329</v>
      </c>
      <c r="D181" s="127" t="s">
        <v>1345</v>
      </c>
      <c r="E181" s="276"/>
      <c r="F181" s="244" t="s">
        <v>1346</v>
      </c>
      <c r="G181" s="127" t="s">
        <v>1347</v>
      </c>
      <c r="H181" s="295" t="s">
        <v>1348</v>
      </c>
      <c r="I181" s="189" t="s">
        <v>19120</v>
      </c>
    </row>
    <row r="182" spans="1:9" ht="27.35">
      <c r="A182" s="127" t="str">
        <f t="shared" si="8"/>
        <v>Smelter Look-upC4</v>
      </c>
      <c r="B182" s="127" t="s">
        <v>1329</v>
      </c>
      <c r="C182" s="127" t="s">
        <v>900</v>
      </c>
      <c r="D182" s="127" t="s">
        <v>1349</v>
      </c>
      <c r="E182" s="276" t="s">
        <v>1350</v>
      </c>
      <c r="F182" s="244" t="s">
        <v>1351</v>
      </c>
      <c r="G182" s="127" t="s">
        <v>1352</v>
      </c>
      <c r="H182" s="295" t="s">
        <v>1353</v>
      </c>
      <c r="I182" s="189" t="s">
        <v>19121</v>
      </c>
    </row>
    <row r="183" spans="1:9" ht="27.35">
      <c r="A183" s="127" t="str">
        <f t="shared" si="8"/>
        <v>Smelter Look-upD4</v>
      </c>
      <c r="B183" s="127" t="s">
        <v>1329</v>
      </c>
      <c r="C183" s="127" t="s">
        <v>1354</v>
      </c>
      <c r="D183" s="127" t="s">
        <v>1355</v>
      </c>
      <c r="E183" s="276"/>
      <c r="F183" s="244" t="s">
        <v>1356</v>
      </c>
      <c r="G183" s="127" t="s">
        <v>1357</v>
      </c>
      <c r="H183" s="295" t="s">
        <v>1358</v>
      </c>
      <c r="I183" s="189" t="s">
        <v>19122</v>
      </c>
    </row>
    <row r="184" spans="1:9" ht="27.3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7.3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7.3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7.3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7.3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c r="A191" s="127" t="str">
        <f t="shared" si="8"/>
        <v>Smelter ListC4</v>
      </c>
      <c r="B191" s="127" t="s">
        <v>1389</v>
      </c>
      <c r="C191" s="127" t="s">
        <v>900</v>
      </c>
      <c r="D191" s="127" t="s">
        <v>1340</v>
      </c>
      <c r="E191" s="292" t="s">
        <v>1341</v>
      </c>
      <c r="F191" s="289" t="s">
        <v>1342</v>
      </c>
      <c r="G191" s="127" t="s">
        <v>1343</v>
      </c>
      <c r="H191" s="295" t="s">
        <v>1344</v>
      </c>
      <c r="I191" s="189" t="s">
        <v>19119</v>
      </c>
    </row>
    <row r="192" spans="1:9" ht="26">
      <c r="A192" s="127" t="str">
        <f t="shared" si="8"/>
        <v>Smelter ListD4</v>
      </c>
      <c r="B192" s="127" t="s">
        <v>1389</v>
      </c>
      <c r="C192" s="127" t="s">
        <v>1354</v>
      </c>
      <c r="D192" s="277" t="s">
        <v>1400</v>
      </c>
      <c r="E192" s="292" t="s">
        <v>1401</v>
      </c>
      <c r="F192" s="289" t="s">
        <v>1402</v>
      </c>
      <c r="G192" s="277" t="s">
        <v>1403</v>
      </c>
      <c r="H192" s="295" t="s">
        <v>1404</v>
      </c>
      <c r="I192" s="189" t="s">
        <v>19130</v>
      </c>
    </row>
    <row r="193" spans="1:9" ht="15.35">
      <c r="A193" s="127" t="str">
        <f t="shared" si="8"/>
        <v>Smelter ListE4</v>
      </c>
      <c r="B193" s="127" t="s">
        <v>1389</v>
      </c>
      <c r="C193" s="127" t="s">
        <v>1359</v>
      </c>
      <c r="D193" s="127" t="s">
        <v>1405</v>
      </c>
      <c r="E193" s="243" t="s">
        <v>1406</v>
      </c>
      <c r="F193" s="244" t="s">
        <v>1407</v>
      </c>
      <c r="G193" s="127" t="s">
        <v>1408</v>
      </c>
      <c r="H193" s="295" t="s">
        <v>1409</v>
      </c>
      <c r="I193" s="189" t="s">
        <v>19131</v>
      </c>
    </row>
    <row r="194" spans="1:9">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c r="A199" s="127" t="str">
        <f t="shared" si="8"/>
        <v>Smelter ListM4</v>
      </c>
      <c r="B199" s="127" t="s">
        <v>1389</v>
      </c>
      <c r="C199" s="127" t="s">
        <v>1423</v>
      </c>
      <c r="D199" s="127" t="s">
        <v>1424</v>
      </c>
      <c r="E199" s="243" t="s">
        <v>1425</v>
      </c>
      <c r="F199" s="244" t="s">
        <v>1426</v>
      </c>
      <c r="G199" s="127" t="s">
        <v>1427</v>
      </c>
      <c r="H199" s="295" t="s">
        <v>1428</v>
      </c>
      <c r="I199" s="189" t="s">
        <v>19134</v>
      </c>
    </row>
    <row r="200" spans="1:9" ht="28.7">
      <c r="A200" s="127" t="str">
        <f t="shared" si="8"/>
        <v>Smelter ListN4</v>
      </c>
      <c r="B200" s="127" t="s">
        <v>1389</v>
      </c>
      <c r="C200" s="127" t="s">
        <v>1429</v>
      </c>
      <c r="D200" s="127" t="s">
        <v>1430</v>
      </c>
      <c r="E200" s="243" t="s">
        <v>1431</v>
      </c>
      <c r="F200" s="244" t="s">
        <v>1432</v>
      </c>
      <c r="G200" s="127" t="s">
        <v>1433</v>
      </c>
      <c r="H200" s="295" t="s">
        <v>1434</v>
      </c>
      <c r="I200" s="127" t="s">
        <v>19135</v>
      </c>
    </row>
    <row r="201" spans="1:9" ht="28.7">
      <c r="A201" s="127" t="str">
        <f t="shared" si="8"/>
        <v>Smelter ListO4</v>
      </c>
      <c r="B201" s="127" t="s">
        <v>1389</v>
      </c>
      <c r="C201" s="127" t="s">
        <v>1435</v>
      </c>
      <c r="D201" s="127" t="s">
        <v>1436</v>
      </c>
      <c r="E201" s="243" t="s">
        <v>1437</v>
      </c>
      <c r="F201" s="244" t="s">
        <v>1438</v>
      </c>
      <c r="G201" s="127" t="s">
        <v>1439</v>
      </c>
      <c r="H201" s="295" t="s">
        <v>1440</v>
      </c>
      <c r="I201" s="127" t="s">
        <v>19136</v>
      </c>
    </row>
    <row r="202" spans="1:9" ht="27.35">
      <c r="A202" s="127" t="str">
        <f t="shared" si="8"/>
        <v>Smelter ListP4</v>
      </c>
      <c r="B202" s="127" t="s">
        <v>1389</v>
      </c>
      <c r="C202" s="127" t="s">
        <v>1441</v>
      </c>
      <c r="D202" s="127" t="s">
        <v>1442</v>
      </c>
      <c r="E202" s="243" t="s">
        <v>1443</v>
      </c>
      <c r="F202" s="244" t="s">
        <v>1444</v>
      </c>
      <c r="G202" s="127" t="s">
        <v>1445</v>
      </c>
      <c r="H202" s="295" t="s">
        <v>1446</v>
      </c>
      <c r="I202" s="127" t="s">
        <v>19137</v>
      </c>
    </row>
    <row r="203" spans="1:9">
      <c r="A203" s="127" t="str">
        <f t="shared" si="8"/>
        <v>Smelter ListQ4</v>
      </c>
      <c r="B203" s="127" t="s">
        <v>1389</v>
      </c>
      <c r="C203" s="127" t="s">
        <v>1447</v>
      </c>
      <c r="D203" s="127" t="s">
        <v>1247</v>
      </c>
      <c r="E203" s="243" t="s">
        <v>1248</v>
      </c>
      <c r="F203" s="244" t="s">
        <v>1249</v>
      </c>
      <c r="G203" s="127" t="s">
        <v>1250</v>
      </c>
      <c r="H203" s="295" t="s">
        <v>1251</v>
      </c>
      <c r="I203" s="127" t="s">
        <v>19104</v>
      </c>
    </row>
    <row r="204" spans="1:9" ht="27.35">
      <c r="A204" s="127" t="str">
        <f t="shared" si="8"/>
        <v>Smelter ListJ2</v>
      </c>
      <c r="B204" s="127" t="s">
        <v>1389</v>
      </c>
      <c r="C204" s="127" t="s">
        <v>1448</v>
      </c>
      <c r="D204" s="127" t="s">
        <v>1449</v>
      </c>
      <c r="E204" s="243" t="s">
        <v>1450</v>
      </c>
      <c r="F204" s="244" t="s">
        <v>1451</v>
      </c>
      <c r="G204" s="127" t="s">
        <v>1452</v>
      </c>
      <c r="H204" s="295" t="s">
        <v>1453</v>
      </c>
      <c r="I204" s="127" t="s">
        <v>19138</v>
      </c>
    </row>
    <row r="205" spans="1:9" ht="26">
      <c r="A205" s="127" t="str">
        <f t="shared" si="8"/>
        <v>Smelter ListB2</v>
      </c>
      <c r="B205" s="127" t="s">
        <v>1389</v>
      </c>
      <c r="C205" s="127" t="s">
        <v>774</v>
      </c>
      <c r="D205" s="278" t="s">
        <v>1454</v>
      </c>
      <c r="E205" s="243" t="s">
        <v>1455</v>
      </c>
      <c r="F205" s="244" t="s">
        <v>1456</v>
      </c>
      <c r="G205" s="278" t="s">
        <v>1457</v>
      </c>
      <c r="H205" s="295" t="s">
        <v>1458</v>
      </c>
      <c r="I205" s="127" t="s">
        <v>19139</v>
      </c>
    </row>
    <row r="206" spans="1:9" ht="409.6">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c r="A208" s="127" t="str">
        <f t="shared" si="8"/>
        <v>Smelter ListG4</v>
      </c>
      <c r="B208" s="127" t="s">
        <v>1389</v>
      </c>
      <c r="C208" s="127" t="s">
        <v>1371</v>
      </c>
      <c r="D208" s="127" t="s">
        <v>1366</v>
      </c>
      <c r="E208" s="243" t="s">
        <v>1367</v>
      </c>
      <c r="F208" s="244" t="s">
        <v>1368</v>
      </c>
      <c r="G208" s="127" t="s">
        <v>1468</v>
      </c>
      <c r="H208" s="295" t="s">
        <v>1370</v>
      </c>
      <c r="I208" s="127" t="s">
        <v>19124</v>
      </c>
    </row>
    <row r="209" spans="1:9" ht="27.35">
      <c r="A209" s="127" t="str">
        <f t="shared" si="8"/>
        <v>Smelter ListAH5</v>
      </c>
      <c r="B209" s="127" t="s">
        <v>1389</v>
      </c>
      <c r="C209" s="127" t="s">
        <v>1469</v>
      </c>
      <c r="D209" s="127" t="s">
        <v>25</v>
      </c>
      <c r="E209" s="243" t="s">
        <v>1275</v>
      </c>
      <c r="F209" s="244" t="s">
        <v>1276</v>
      </c>
      <c r="G209" s="127" t="s">
        <v>1277</v>
      </c>
      <c r="H209" s="295" t="s">
        <v>1278</v>
      </c>
      <c r="I209" s="127" t="s">
        <v>19107</v>
      </c>
    </row>
    <row r="210" spans="1:9" ht="27.35">
      <c r="A210" s="127" t="str">
        <f t="shared" si="8"/>
        <v>Smelter ListAH6</v>
      </c>
      <c r="B210" s="127" t="s">
        <v>1389</v>
      </c>
      <c r="C210" s="127" t="s">
        <v>1470</v>
      </c>
      <c r="D210" s="127" t="s">
        <v>22</v>
      </c>
      <c r="E210" s="243" t="s">
        <v>1280</v>
      </c>
      <c r="F210" s="244" t="s">
        <v>1281</v>
      </c>
      <c r="G210" s="127" t="s">
        <v>1282</v>
      </c>
      <c r="H210" s="295" t="s">
        <v>22</v>
      </c>
      <c r="I210" s="127" t="s">
        <v>19108</v>
      </c>
    </row>
    <row r="211" spans="1:9" ht="27.35">
      <c r="A211" s="127" t="str">
        <f t="shared" si="8"/>
        <v>Smelter ListAH7</v>
      </c>
      <c r="B211" s="127" t="s">
        <v>1389</v>
      </c>
      <c r="C211" s="127" t="s">
        <v>1471</v>
      </c>
      <c r="D211" s="127" t="s">
        <v>26</v>
      </c>
      <c r="E211" s="243" t="s">
        <v>1284</v>
      </c>
      <c r="F211" s="244" t="s">
        <v>1285</v>
      </c>
      <c r="G211" s="127" t="s">
        <v>1286</v>
      </c>
      <c r="H211" s="295" t="s">
        <v>1287</v>
      </c>
      <c r="I211" s="127" t="s">
        <v>19109</v>
      </c>
    </row>
    <row r="212" spans="1:9" ht="41">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7.35">
      <c r="A223" s="127" t="str">
        <f t="shared" si="8"/>
        <v>CheckerJ4</v>
      </c>
      <c r="B223" s="127" t="s">
        <v>1472</v>
      </c>
      <c r="C223" s="127" t="s">
        <v>1410</v>
      </c>
      <c r="D223" s="127" t="s">
        <v>1521</v>
      </c>
      <c r="E223" s="243" t="s">
        <v>1522</v>
      </c>
      <c r="F223" s="244" t="s">
        <v>1523</v>
      </c>
      <c r="G223" s="127" t="s">
        <v>1524</v>
      </c>
      <c r="H223" s="295" t="s">
        <v>1525</v>
      </c>
      <c r="I223" s="127" t="s">
        <v>19150</v>
      </c>
    </row>
    <row r="224" spans="1:9" ht="27.35">
      <c r="A224" s="127" t="str">
        <f t="shared" si="8"/>
        <v>CheckerJ5</v>
      </c>
      <c r="B224" s="127" t="s">
        <v>1472</v>
      </c>
      <c r="C224" s="127" t="s">
        <v>1526</v>
      </c>
      <c r="D224" s="127" t="s">
        <v>1527</v>
      </c>
      <c r="E224" s="243" t="s">
        <v>1528</v>
      </c>
      <c r="F224" s="244" t="s">
        <v>1529</v>
      </c>
      <c r="G224" s="127" t="s">
        <v>1530</v>
      </c>
      <c r="H224" s="295" t="s">
        <v>1531</v>
      </c>
      <c r="I224" s="127" t="s">
        <v>19151</v>
      </c>
    </row>
    <row r="225" spans="1:9" ht="27.35">
      <c r="A225" s="127" t="str">
        <f t="shared" si="8"/>
        <v>CheckerJ6</v>
      </c>
      <c r="B225" s="127" t="s">
        <v>1472</v>
      </c>
      <c r="C225" s="127" t="s">
        <v>1532</v>
      </c>
      <c r="D225" s="127" t="s">
        <v>1533</v>
      </c>
      <c r="E225" s="243" t="s">
        <v>1534</v>
      </c>
      <c r="F225" s="244" t="s">
        <v>1535</v>
      </c>
      <c r="G225" s="127" t="s">
        <v>1536</v>
      </c>
      <c r="H225" s="295" t="s">
        <v>1537</v>
      </c>
      <c r="I225" s="127" t="s">
        <v>19152</v>
      </c>
    </row>
    <row r="226" spans="1:9" ht="27.35">
      <c r="A226" s="127" t="str">
        <f t="shared" si="8"/>
        <v>CheckerJ7</v>
      </c>
      <c r="B226" s="127" t="s">
        <v>1472</v>
      </c>
      <c r="C226" s="127" t="s">
        <v>1538</v>
      </c>
      <c r="D226" s="127" t="s">
        <v>1539</v>
      </c>
      <c r="E226" s="243" t="s">
        <v>1540</v>
      </c>
      <c r="F226" s="244" t="s">
        <v>1541</v>
      </c>
      <c r="G226" s="127" t="s">
        <v>1542</v>
      </c>
      <c r="H226" s="295" t="s">
        <v>1543</v>
      </c>
      <c r="I226" s="127" t="s">
        <v>19153</v>
      </c>
    </row>
    <row r="227" spans="1:9" ht="28.7">
      <c r="A227" s="127" t="str">
        <f t="shared" si="8"/>
        <v>CheckerJ8</v>
      </c>
      <c r="B227" s="127" t="s">
        <v>1472</v>
      </c>
      <c r="C227" s="127" t="s">
        <v>1544</v>
      </c>
      <c r="D227" s="127" t="s">
        <v>1545</v>
      </c>
      <c r="E227" s="243" t="s">
        <v>1546</v>
      </c>
      <c r="F227" s="244" t="s">
        <v>1547</v>
      </c>
      <c r="G227" s="127" t="s">
        <v>1548</v>
      </c>
      <c r="H227" s="295" t="s">
        <v>1549</v>
      </c>
      <c r="I227" s="127" t="s">
        <v>19154</v>
      </c>
    </row>
    <row r="228" spans="1:9" ht="27.35">
      <c r="A228" s="127" t="str">
        <f t="shared" si="8"/>
        <v>CheckerJ9</v>
      </c>
      <c r="B228" s="127" t="s">
        <v>1472</v>
      </c>
      <c r="C228" s="127" t="s">
        <v>1550</v>
      </c>
      <c r="D228" s="127" t="s">
        <v>1551</v>
      </c>
      <c r="E228" s="243" t="s">
        <v>1552</v>
      </c>
      <c r="F228" s="244" t="s">
        <v>1553</v>
      </c>
      <c r="G228" s="127" t="s">
        <v>1554</v>
      </c>
      <c r="H228" s="295" t="s">
        <v>1555</v>
      </c>
      <c r="I228" s="127" t="s">
        <v>19155</v>
      </c>
    </row>
    <row r="229" spans="1:9" ht="41">
      <c r="A229" s="127" t="str">
        <f t="shared" si="8"/>
        <v>CheckerJ10</v>
      </c>
      <c r="B229" s="127" t="s">
        <v>1472</v>
      </c>
      <c r="C229" s="127" t="s">
        <v>1556</v>
      </c>
      <c r="D229" s="127" t="s">
        <v>1557</v>
      </c>
      <c r="E229" s="243" t="s">
        <v>1558</v>
      </c>
      <c r="F229" s="244" t="s">
        <v>1559</v>
      </c>
      <c r="G229" s="255" t="s">
        <v>1560</v>
      </c>
      <c r="H229" s="295" t="s">
        <v>1561</v>
      </c>
      <c r="I229" s="127" t="s">
        <v>19156</v>
      </c>
    </row>
    <row r="230" spans="1:9" ht="41">
      <c r="A230" s="127" t="str">
        <f t="shared" si="8"/>
        <v>CheckerJ11</v>
      </c>
      <c r="B230" s="127" t="s">
        <v>1472</v>
      </c>
      <c r="C230" s="127" t="s">
        <v>1562</v>
      </c>
      <c r="D230" s="127" t="s">
        <v>1563</v>
      </c>
      <c r="E230" s="243" t="s">
        <v>1564</v>
      </c>
      <c r="F230" s="244" t="s">
        <v>1565</v>
      </c>
      <c r="G230" s="255" t="s">
        <v>1566</v>
      </c>
      <c r="H230" s="295" t="s">
        <v>1567</v>
      </c>
      <c r="I230" s="127" t="s">
        <v>19157</v>
      </c>
    </row>
    <row r="231" spans="1:9" ht="41">
      <c r="A231" s="127" t="str">
        <f t="shared" si="8"/>
        <v>CheckerJ12</v>
      </c>
      <c r="B231" s="127" t="s">
        <v>1472</v>
      </c>
      <c r="C231" s="127" t="s">
        <v>1568</v>
      </c>
      <c r="D231" s="127" t="s">
        <v>1569</v>
      </c>
      <c r="E231" s="243" t="s">
        <v>1570</v>
      </c>
      <c r="F231" s="244" t="s">
        <v>1571</v>
      </c>
      <c r="G231" s="255" t="s">
        <v>1572</v>
      </c>
      <c r="H231" s="295" t="s">
        <v>1573</v>
      </c>
      <c r="I231" s="127" t="s">
        <v>19159</v>
      </c>
    </row>
    <row r="232" spans="1:9" ht="27.35">
      <c r="A232" s="127" t="str">
        <f t="shared" si="8"/>
        <v>CheckerJ13</v>
      </c>
      <c r="B232" s="127" t="s">
        <v>1472</v>
      </c>
      <c r="C232" s="127" t="s">
        <v>1574</v>
      </c>
      <c r="D232" s="127" t="s">
        <v>1575</v>
      </c>
      <c r="E232" s="243" t="s">
        <v>1576</v>
      </c>
      <c r="F232" s="244" t="s">
        <v>1577</v>
      </c>
      <c r="G232" s="127" t="s">
        <v>1578</v>
      </c>
      <c r="H232" s="295" t="s">
        <v>1579</v>
      </c>
      <c r="I232" s="127" t="s">
        <v>19158</v>
      </c>
    </row>
    <row r="233" spans="1:9" ht="31.35">
      <c r="A233" s="127" t="str">
        <f t="shared" si="8"/>
        <v>CheckerJ15</v>
      </c>
      <c r="B233" s="127" t="s">
        <v>1472</v>
      </c>
      <c r="C233" s="127" t="s">
        <v>1580</v>
      </c>
      <c r="D233" s="249" t="s">
        <v>1581</v>
      </c>
      <c r="E233" s="250" t="s">
        <v>1582</v>
      </c>
      <c r="F233" s="257" t="s">
        <v>1583</v>
      </c>
      <c r="G233" s="255" t="s">
        <v>1584</v>
      </c>
      <c r="H233" s="295" t="s">
        <v>1585</v>
      </c>
      <c r="I233" s="127" t="s">
        <v>19160</v>
      </c>
    </row>
    <row r="234" spans="1:9" ht="41">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4.7">
      <c r="A237" s="127" t="str">
        <f t="shared" si="8"/>
        <v>CheckerJ20</v>
      </c>
      <c r="B237" s="127" t="s">
        <v>1472</v>
      </c>
      <c r="C237" s="127" t="s">
        <v>1594</v>
      </c>
      <c r="D237" s="249" t="s">
        <v>1595</v>
      </c>
      <c r="E237" s="250" t="s">
        <v>1596</v>
      </c>
      <c r="F237" s="257" t="s">
        <v>1597</v>
      </c>
      <c r="G237" s="262" t="s">
        <v>1598</v>
      </c>
      <c r="H237" s="295" t="s">
        <v>1599</v>
      </c>
      <c r="I237" s="127" t="s">
        <v>19162</v>
      </c>
    </row>
    <row r="238" spans="1:9" ht="54.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4"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4.7">
      <c r="A242" s="127" t="str">
        <f t="shared" si="9"/>
        <v>CheckerJ28</v>
      </c>
      <c r="B242" s="127" t="s">
        <v>1472</v>
      </c>
      <c r="C242" s="127" t="s">
        <v>1618</v>
      </c>
      <c r="D242" s="249" t="s">
        <v>1619</v>
      </c>
      <c r="E242" s="250" t="s">
        <v>1620</v>
      </c>
      <c r="F242" s="257" t="s">
        <v>1621</v>
      </c>
      <c r="G242" s="255" t="s">
        <v>1622</v>
      </c>
      <c r="H242" s="295" t="s">
        <v>1623</v>
      </c>
      <c r="I242" s="127" t="s">
        <v>19165</v>
      </c>
    </row>
    <row r="243" spans="1:9" ht="54.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4.7">
      <c r="A250" s="127" t="str">
        <f t="shared" si="9"/>
        <v>CheckerJ38</v>
      </c>
      <c r="B250" s="127" t="s">
        <v>1472</v>
      </c>
      <c r="C250" s="127" t="s">
        <v>1644</v>
      </c>
      <c r="D250" s="127" t="s">
        <v>1645</v>
      </c>
      <c r="E250" s="243" t="s">
        <v>1646</v>
      </c>
      <c r="F250" s="244" t="s">
        <v>1647</v>
      </c>
      <c r="G250" s="255" t="s">
        <v>1648</v>
      </c>
      <c r="H250" s="295" t="s">
        <v>1649</v>
      </c>
      <c r="I250" s="127" t="s">
        <v>19171</v>
      </c>
    </row>
    <row r="251" spans="1:9" ht="54.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1">
      <c r="A254" s="127" t="str">
        <f t="shared" si="9"/>
        <v>CheckerJ43</v>
      </c>
      <c r="B254" s="127" t="s">
        <v>1472</v>
      </c>
      <c r="C254" s="127" t="s">
        <v>1657</v>
      </c>
      <c r="D254" s="249" t="s">
        <v>1658</v>
      </c>
      <c r="E254" s="250" t="s">
        <v>1659</v>
      </c>
      <c r="F254" s="257" t="s">
        <v>1660</v>
      </c>
      <c r="G254" s="262" t="s">
        <v>1661</v>
      </c>
      <c r="H254" s="295" t="s">
        <v>1662</v>
      </c>
      <c r="I254" s="127" t="s">
        <v>19174</v>
      </c>
    </row>
    <row r="255" spans="1:9" ht="41">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4.7">
      <c r="A258" s="127" t="str">
        <f t="shared" si="9"/>
        <v>CheckerJ49</v>
      </c>
      <c r="B258" s="127" t="s">
        <v>1472</v>
      </c>
      <c r="C258" s="127" t="s">
        <v>1698</v>
      </c>
      <c r="D258" s="249" t="s">
        <v>1682</v>
      </c>
      <c r="E258" s="250" t="s">
        <v>1683</v>
      </c>
      <c r="F258" s="257" t="s">
        <v>1684</v>
      </c>
      <c r="G258" s="280" t="s">
        <v>1685</v>
      </c>
      <c r="H258" s="295" t="s">
        <v>1686</v>
      </c>
      <c r="I258" s="127" t="s">
        <v>19177</v>
      </c>
    </row>
    <row r="259" spans="1:9" ht="54.7">
      <c r="A259" s="127" t="str">
        <f t="shared" si="9"/>
        <v>CheckerJ48</v>
      </c>
      <c r="B259" s="127" t="s">
        <v>1472</v>
      </c>
      <c r="C259" s="127" t="s">
        <v>1687</v>
      </c>
      <c r="D259" s="127" t="s">
        <v>1688</v>
      </c>
      <c r="E259" s="247" t="s">
        <v>1689</v>
      </c>
      <c r="F259" s="244" t="s">
        <v>1690</v>
      </c>
      <c r="G259" s="245" t="s">
        <v>1691</v>
      </c>
      <c r="H259" s="295" t="s">
        <v>1692</v>
      </c>
      <c r="I259" s="127" t="s">
        <v>19178</v>
      </c>
    </row>
    <row r="260" spans="1:9" ht="54.7">
      <c r="A260" s="127" t="str">
        <f>B260&amp;C260</f>
        <v>CheckerJ50</v>
      </c>
      <c r="B260" s="127" t="s">
        <v>1472</v>
      </c>
      <c r="C260" s="127" t="s">
        <v>1681</v>
      </c>
      <c r="D260" s="127" t="s">
        <v>1693</v>
      </c>
      <c r="E260" s="247" t="s">
        <v>1694</v>
      </c>
      <c r="F260" s="281" t="s">
        <v>1695</v>
      </c>
      <c r="G260" s="252" t="s">
        <v>1696</v>
      </c>
      <c r="H260" s="295" t="s">
        <v>1697</v>
      </c>
      <c r="I260" s="127" t="s">
        <v>19179</v>
      </c>
    </row>
    <row r="261" spans="1:9" ht="41">
      <c r="A261" s="127" t="str">
        <f t="shared" si="9"/>
        <v>CheckerJ54</v>
      </c>
      <c r="B261" s="127" t="s">
        <v>1472</v>
      </c>
      <c r="C261" s="127" t="s">
        <v>1675</v>
      </c>
      <c r="D261" s="249" t="s">
        <v>12675</v>
      </c>
      <c r="E261" s="250" t="s">
        <v>12676</v>
      </c>
      <c r="F261" s="257" t="s">
        <v>12677</v>
      </c>
      <c r="G261" s="280" t="s">
        <v>12678</v>
      </c>
      <c r="H261" s="295" t="s">
        <v>12679</v>
      </c>
      <c r="I261" s="127" t="s">
        <v>19180</v>
      </c>
    </row>
    <row r="262" spans="1:9" ht="41" hidden="1">
      <c r="A262" s="127" t="str">
        <f t="shared" si="9"/>
        <v>Checker</v>
      </c>
      <c r="B262" s="127" t="s">
        <v>1472</v>
      </c>
      <c r="D262" s="127" t="s">
        <v>1699</v>
      </c>
      <c r="E262" s="243" t="s">
        <v>1700</v>
      </c>
      <c r="F262" s="244" t="s">
        <v>1701</v>
      </c>
      <c r="G262" s="127" t="s">
        <v>1702</v>
      </c>
      <c r="H262" s="295" t="s">
        <v>1703</v>
      </c>
    </row>
    <row r="263" spans="1:9" ht="54.7"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1">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7"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1">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1">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1">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1"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1">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7.3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2">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c r="A287" s="127" t="s">
        <v>1247</v>
      </c>
      <c r="D287" s="127" t="s">
        <v>1766</v>
      </c>
      <c r="E287" s="243" t="s">
        <v>1767</v>
      </c>
      <c r="F287" s="244" t="s">
        <v>1768</v>
      </c>
      <c r="G287" s="128" t="s">
        <v>1769</v>
      </c>
      <c r="H287" s="295" t="s">
        <v>1770</v>
      </c>
    </row>
    <row r="288" spans="1:9" ht="68.349999999999994">
      <c r="A288" s="127" t="s">
        <v>1247</v>
      </c>
      <c r="D288" s="127" t="s">
        <v>1771</v>
      </c>
      <c r="E288" s="243" t="s">
        <v>1772</v>
      </c>
      <c r="F288" s="244" t="s">
        <v>1773</v>
      </c>
      <c r="G288" s="128" t="s">
        <v>1774</v>
      </c>
      <c r="H288" s="295" t="s">
        <v>1775</v>
      </c>
    </row>
    <row r="289" spans="1:8">
      <c r="A289" s="127" t="s">
        <v>1247</v>
      </c>
      <c r="D289" s="127" t="s">
        <v>1776</v>
      </c>
      <c r="E289" s="243" t="s">
        <v>1777</v>
      </c>
      <c r="F289" s="244" t="s">
        <v>1778</v>
      </c>
      <c r="G289" s="128" t="s">
        <v>1779</v>
      </c>
      <c r="H289" s="295" t="s">
        <v>1780</v>
      </c>
    </row>
    <row r="290" spans="1:8" ht="28.7">
      <c r="A290" s="127" t="s">
        <v>1247</v>
      </c>
      <c r="D290" s="127" t="s">
        <v>1781</v>
      </c>
      <c r="E290" s="243" t="s">
        <v>1782</v>
      </c>
      <c r="F290" s="244" t="s">
        <v>1783</v>
      </c>
      <c r="G290" s="128" t="s">
        <v>1784</v>
      </c>
      <c r="H290" s="295" t="s">
        <v>1785</v>
      </c>
    </row>
    <row r="291" spans="1:8" ht="54.7">
      <c r="A291" s="127" t="s">
        <v>1247</v>
      </c>
      <c r="D291" s="127" t="s">
        <v>1786</v>
      </c>
      <c r="E291" s="243" t="s">
        <v>1787</v>
      </c>
      <c r="F291" s="244" t="s">
        <v>1788</v>
      </c>
      <c r="G291" s="128" t="s">
        <v>1789</v>
      </c>
      <c r="H291" s="295"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7EF68B7-4D43-45CE-B58A-959777A6252B}"/>
    </customSheetView>
    <customSheetView guid="{4BDF1A28-30D5-449D-B20E-D6C97EF9FAE1}" showAutoFilter="1">
      <selection activeCell="C174" sqref="C174"/>
      <pageMargins left="0" right="0" top="0" bottom="0" header="0" footer="0"/>
      <pageSetup paperSize="9" orientation="portrait"/>
      <autoFilter ref="B1:N1" xr:uid="{6AE6A014-71BE-41AA-AB9F-83CE0EBCA525}"/>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Albert2 Wang(王孝中)</cp:lastModifiedBy>
  <cp:revision/>
  <dcterms:created xsi:type="dcterms:W3CDTF">2010-06-21T21:00:23Z</dcterms:created>
  <dcterms:modified xsi:type="dcterms:W3CDTF">2024-07-10T06:36:13Z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